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ster's Degree in Management\TESIS\All Data\"/>
    </mc:Choice>
  </mc:AlternateContent>
  <bookViews>
    <workbookView xWindow="0" yWindow="0" windowWidth="20490" windowHeight="7755" firstSheet="3" activeTab="3"/>
  </bookViews>
  <sheets>
    <sheet name="SETTING PRODUKSI SEPTEMBER AU" sheetId="12" r:id="rId1"/>
    <sheet name="SETTING PRODUKSI Januari" sheetId="4" r:id="rId2"/>
    <sheet name="Sheet1" sheetId="11" state="hidden" r:id="rId3"/>
    <sheet name="Forecast Produksi" sheetId="13" r:id="rId4"/>
    <sheet name="MASTER DATA" sheetId="2" r:id="rId5"/>
    <sheet name="STOK AKHIR DAN ESKES LVL STOK" sheetId="10" r:id="rId6"/>
    <sheet name="KIRIM ANTAR UNIT" sheetId="8" r:id="rId7"/>
  </sheets>
  <externalReferences>
    <externalReference r:id="rId8"/>
  </externalReferences>
  <definedNames>
    <definedName name="_xlnm._FilterDatabase" localSheetId="1" hidden="1">'SETTING PRODUKSI Januari'!$C$12:$O$155</definedName>
    <definedName name="_xlnm._FilterDatabase" localSheetId="0" hidden="1">'SETTING PRODUKSI SEPTEMBER AU'!$C$12:$O$155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3" l="1"/>
  <c r="M17" i="13" l="1"/>
  <c r="M16" i="13"/>
  <c r="M15" i="13"/>
  <c r="Q18" i="4" l="1"/>
  <c r="P18" i="4"/>
  <c r="P15" i="4"/>
  <c r="O15" i="4"/>
  <c r="N15" i="4"/>
  <c r="M15" i="4"/>
  <c r="L15" i="4"/>
  <c r="H15" i="4"/>
  <c r="G19" i="13" l="1"/>
  <c r="D8" i="13"/>
  <c r="D9" i="13"/>
  <c r="G20" i="13"/>
  <c r="G18" i="13"/>
  <c r="C20" i="13" l="1"/>
  <c r="F4" i="13" l="1"/>
  <c r="D22" i="13"/>
  <c r="H21" i="13"/>
  <c r="E21" i="13"/>
  <c r="E20" i="13"/>
  <c r="H20" i="13" s="1"/>
  <c r="J20" i="13" s="1"/>
  <c r="C11" i="13"/>
  <c r="D10" i="13"/>
  <c r="D11" i="13" s="1"/>
  <c r="E9" i="13"/>
  <c r="E8" i="13"/>
  <c r="E10" i="13" l="1"/>
  <c r="G22" i="13"/>
  <c r="F8" i="13"/>
  <c r="F9" i="13"/>
  <c r="G9" i="13" s="1"/>
  <c r="H9" i="13" s="1"/>
  <c r="F10" i="13"/>
  <c r="G10" i="13" s="1"/>
  <c r="H10" i="13" s="1"/>
  <c r="E11" i="13"/>
  <c r="F11" i="13" l="1"/>
  <c r="J9" i="13"/>
  <c r="I9" i="13"/>
  <c r="J10" i="13"/>
  <c r="I10" i="13"/>
  <c r="G8" i="13"/>
  <c r="K9" i="13" l="1"/>
  <c r="K10" i="13"/>
  <c r="G11" i="13"/>
  <c r="H8" i="13"/>
  <c r="J8" i="13" l="1"/>
  <c r="J11" i="13" s="1"/>
  <c r="H11" i="13"/>
  <c r="I8" i="13"/>
  <c r="K8" i="13" l="1"/>
  <c r="K11" i="13" s="1"/>
  <c r="I11" i="13"/>
  <c r="N81" i="4" l="1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0" i="4"/>
  <c r="N19" i="4"/>
  <c r="N18" i="4"/>
  <c r="N17" i="4"/>
  <c r="N16" i="4"/>
  <c r="Z84" i="4" l="1"/>
  <c r="Z82" i="4"/>
  <c r="Z81" i="4"/>
  <c r="Z80" i="4"/>
  <c r="Z78" i="4"/>
  <c r="Z30" i="4"/>
  <c r="Z29" i="4"/>
  <c r="Z28" i="4"/>
  <c r="Z27" i="4"/>
  <c r="Z25" i="4"/>
  <c r="Z24" i="4"/>
  <c r="Z23" i="4"/>
  <c r="Z22" i="4"/>
  <c r="Z21" i="4"/>
  <c r="Z20" i="4"/>
  <c r="Z19" i="4"/>
  <c r="Z18" i="4"/>
  <c r="Z17" i="4"/>
  <c r="Z16" i="4"/>
  <c r="Z15" i="4"/>
  <c r="Z14" i="4"/>
  <c r="Y30" i="4"/>
  <c r="Y29" i="4"/>
  <c r="Y28" i="4"/>
  <c r="Y27" i="4"/>
  <c r="Y26" i="4"/>
  <c r="Y25" i="4"/>
  <c r="Y24" i="4"/>
  <c r="Y23" i="4"/>
  <c r="Y21" i="4"/>
  <c r="Y20" i="4"/>
  <c r="Y19" i="4"/>
  <c r="Y18" i="4"/>
  <c r="Y17" i="4"/>
  <c r="Y16" i="4"/>
  <c r="Y15" i="4"/>
  <c r="Y14" i="4"/>
  <c r="Y13" i="4"/>
  <c r="O200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78" i="4"/>
  <c r="O172" i="4"/>
  <c r="O171" i="4"/>
  <c r="O168" i="4"/>
  <c r="O166" i="4"/>
  <c r="O162" i="4"/>
  <c r="O161" i="4"/>
  <c r="O158" i="4"/>
  <c r="O157" i="4"/>
  <c r="O156" i="4"/>
  <c r="O155" i="4"/>
  <c r="O149" i="4"/>
  <c r="O145" i="4"/>
  <c r="O144" i="4"/>
  <c r="O143" i="4"/>
  <c r="O142" i="4"/>
  <c r="O141" i="4"/>
  <c r="O140" i="4"/>
  <c r="Y76" i="4" s="1"/>
  <c r="O139" i="4"/>
  <c r="Z13" i="4"/>
  <c r="F205" i="4"/>
  <c r="E205" i="4"/>
  <c r="H200" i="4"/>
  <c r="H199" i="4"/>
  <c r="L199" i="4" s="1"/>
  <c r="H198" i="4"/>
  <c r="H197" i="4"/>
  <c r="H196" i="4"/>
  <c r="H195" i="4"/>
  <c r="L195" i="4" s="1"/>
  <c r="H194" i="4"/>
  <c r="H193" i="4"/>
  <c r="H192" i="4"/>
  <c r="H191" i="4"/>
  <c r="L191" i="4" s="1"/>
  <c r="H190" i="4"/>
  <c r="H189" i="4"/>
  <c r="H188" i="4"/>
  <c r="H187" i="4"/>
  <c r="L187" i="4" s="1"/>
  <c r="H186" i="4"/>
  <c r="H185" i="4"/>
  <c r="H184" i="4"/>
  <c r="H183" i="4"/>
  <c r="L183" i="4" s="1"/>
  <c r="H182" i="4"/>
  <c r="H181" i="4"/>
  <c r="H180" i="4"/>
  <c r="H179" i="4"/>
  <c r="L179" i="4" s="1"/>
  <c r="M179" i="4" s="1"/>
  <c r="O179" i="4" s="1"/>
  <c r="H178" i="4"/>
  <c r="K176" i="4"/>
  <c r="J176" i="4"/>
  <c r="F176" i="4"/>
  <c r="E176" i="4"/>
  <c r="H172" i="4"/>
  <c r="L172" i="4" s="1"/>
  <c r="H171" i="4"/>
  <c r="L171" i="4" s="1"/>
  <c r="M171" i="4" s="1"/>
  <c r="S171" i="4" s="1"/>
  <c r="H170" i="4"/>
  <c r="L170" i="4" s="1"/>
  <c r="M170" i="4" s="1"/>
  <c r="S170" i="4" s="1"/>
  <c r="H169" i="4"/>
  <c r="L169" i="4" s="1"/>
  <c r="P169" i="4" s="1"/>
  <c r="Q169" i="4" s="1"/>
  <c r="H168" i="4"/>
  <c r="L168" i="4" s="1"/>
  <c r="M168" i="4" s="1"/>
  <c r="S168" i="4" s="1"/>
  <c r="H167" i="4"/>
  <c r="L167" i="4" s="1"/>
  <c r="H166" i="4"/>
  <c r="L166" i="4" s="1"/>
  <c r="P166" i="4" s="1"/>
  <c r="Q166" i="4" s="1"/>
  <c r="H165" i="4"/>
  <c r="L165" i="4" s="1"/>
  <c r="H164" i="4"/>
  <c r="L164" i="4" s="1"/>
  <c r="M164" i="4" s="1"/>
  <c r="S164" i="4" s="1"/>
  <c r="H163" i="4"/>
  <c r="L163" i="4" s="1"/>
  <c r="H162" i="4"/>
  <c r="L162" i="4" s="1"/>
  <c r="P162" i="4" s="1"/>
  <c r="Q162" i="4" s="1"/>
  <c r="H161" i="4"/>
  <c r="L161" i="4" s="1"/>
  <c r="M161" i="4" s="1"/>
  <c r="S161" i="4" s="1"/>
  <c r="H160" i="4"/>
  <c r="L160" i="4" s="1"/>
  <c r="H159" i="4"/>
  <c r="L159" i="4" s="1"/>
  <c r="P159" i="4" s="1"/>
  <c r="Q159" i="4" s="1"/>
  <c r="H158" i="4"/>
  <c r="L158" i="4" s="1"/>
  <c r="H157" i="4"/>
  <c r="L157" i="4" s="1"/>
  <c r="M157" i="4" s="1"/>
  <c r="S157" i="4" s="1"/>
  <c r="H156" i="4"/>
  <c r="L156" i="4" s="1"/>
  <c r="H155" i="4"/>
  <c r="L155" i="4" s="1"/>
  <c r="P155" i="4" s="1"/>
  <c r="Q155" i="4" s="1"/>
  <c r="H154" i="4"/>
  <c r="L154" i="4" s="1"/>
  <c r="H153" i="4"/>
  <c r="L153" i="4" s="1"/>
  <c r="H152" i="4"/>
  <c r="L152" i="4" s="1"/>
  <c r="M152" i="4" s="1"/>
  <c r="S152" i="4" s="1"/>
  <c r="H151" i="4"/>
  <c r="L151" i="4" s="1"/>
  <c r="P151" i="4" s="1"/>
  <c r="Q151" i="4" s="1"/>
  <c r="H150" i="4"/>
  <c r="L150" i="4" s="1"/>
  <c r="P150" i="4" s="1"/>
  <c r="Q150" i="4" s="1"/>
  <c r="H149" i="4"/>
  <c r="L149" i="4" s="1"/>
  <c r="H148" i="4"/>
  <c r="L148" i="4" s="1"/>
  <c r="H147" i="4"/>
  <c r="L147" i="4" s="1"/>
  <c r="M147" i="4" s="1"/>
  <c r="S147" i="4" s="1"/>
  <c r="H146" i="4"/>
  <c r="L146" i="4" s="1"/>
  <c r="P146" i="4" s="1"/>
  <c r="Q146" i="4" s="1"/>
  <c r="H145" i="4"/>
  <c r="L145" i="4" s="1"/>
  <c r="H144" i="4"/>
  <c r="L144" i="4" s="1"/>
  <c r="H143" i="4"/>
  <c r="L143" i="4" s="1"/>
  <c r="P143" i="4" s="1"/>
  <c r="Q143" i="4" s="1"/>
  <c r="H142" i="4"/>
  <c r="L142" i="4" s="1"/>
  <c r="H141" i="4"/>
  <c r="L141" i="4" s="1"/>
  <c r="M141" i="4" s="1"/>
  <c r="S141" i="4" s="1"/>
  <c r="H140" i="4"/>
  <c r="L140" i="4" s="1"/>
  <c r="H139" i="4"/>
  <c r="L139" i="4" s="1"/>
  <c r="P139" i="4" s="1"/>
  <c r="Q139" i="4" s="1"/>
  <c r="H138" i="4"/>
  <c r="F136" i="4"/>
  <c r="E136" i="4"/>
  <c r="N131" i="4"/>
  <c r="H131" i="4"/>
  <c r="N130" i="4"/>
  <c r="H130" i="4"/>
  <c r="N129" i="4"/>
  <c r="H129" i="4"/>
  <c r="N128" i="4"/>
  <c r="H128" i="4"/>
  <c r="L128" i="4" s="1"/>
  <c r="M128" i="4" s="1"/>
  <c r="N127" i="4"/>
  <c r="H127" i="4"/>
  <c r="L127" i="4" s="1"/>
  <c r="N126" i="4"/>
  <c r="H126" i="4"/>
  <c r="N125" i="4"/>
  <c r="H125" i="4"/>
  <c r="L125" i="4" s="1"/>
  <c r="N124" i="4"/>
  <c r="H124" i="4"/>
  <c r="L124" i="4" s="1"/>
  <c r="N123" i="4"/>
  <c r="H123" i="4"/>
  <c r="L123" i="4" s="1"/>
  <c r="N122" i="4"/>
  <c r="H122" i="4"/>
  <c r="L122" i="4" s="1"/>
  <c r="N121" i="4"/>
  <c r="H121" i="4"/>
  <c r="L121" i="4" s="1"/>
  <c r="P121" i="4" s="1"/>
  <c r="Q121" i="4" s="1"/>
  <c r="N120" i="4"/>
  <c r="H120" i="4"/>
  <c r="L120" i="4" s="1"/>
  <c r="M120" i="4" s="1"/>
  <c r="N119" i="4"/>
  <c r="H119" i="4"/>
  <c r="L119" i="4" s="1"/>
  <c r="P119" i="4" s="1"/>
  <c r="Q119" i="4" s="1"/>
  <c r="N118" i="4"/>
  <c r="H118" i="4"/>
  <c r="L118" i="4" s="1"/>
  <c r="N117" i="4"/>
  <c r="H117" i="4"/>
  <c r="L117" i="4" s="1"/>
  <c r="M117" i="4" s="1"/>
  <c r="N116" i="4"/>
  <c r="H116" i="4"/>
  <c r="L116" i="4" s="1"/>
  <c r="P116" i="4" s="1"/>
  <c r="Q116" i="4" s="1"/>
  <c r="N115" i="4"/>
  <c r="H115" i="4"/>
  <c r="L115" i="4" s="1"/>
  <c r="N114" i="4"/>
  <c r="H114" i="4"/>
  <c r="L114" i="4" s="1"/>
  <c r="P114" i="4" s="1"/>
  <c r="Q114" i="4" s="1"/>
  <c r="N113" i="4"/>
  <c r="H113" i="4"/>
  <c r="L113" i="4" s="1"/>
  <c r="N112" i="4"/>
  <c r="H112" i="4"/>
  <c r="L112" i="4" s="1"/>
  <c r="N111" i="4"/>
  <c r="H111" i="4"/>
  <c r="L111" i="4" s="1"/>
  <c r="P111" i="4" s="1"/>
  <c r="Q111" i="4" s="1"/>
  <c r="N110" i="4"/>
  <c r="H110" i="4"/>
  <c r="L110" i="4" s="1"/>
  <c r="M110" i="4" s="1"/>
  <c r="N109" i="4"/>
  <c r="H109" i="4"/>
  <c r="L109" i="4" s="1"/>
  <c r="M109" i="4" s="1"/>
  <c r="N108" i="4"/>
  <c r="H108" i="4"/>
  <c r="L108" i="4" s="1"/>
  <c r="P108" i="4" s="1"/>
  <c r="Q108" i="4" s="1"/>
  <c r="N107" i="4"/>
  <c r="H107" i="4"/>
  <c r="L107" i="4" s="1"/>
  <c r="N106" i="4"/>
  <c r="H106" i="4"/>
  <c r="L106" i="4" s="1"/>
  <c r="N105" i="4"/>
  <c r="H105" i="4"/>
  <c r="L105" i="4" s="1"/>
  <c r="N104" i="4"/>
  <c r="H104" i="4"/>
  <c r="L104" i="4" s="1"/>
  <c r="N103" i="4"/>
  <c r="H103" i="4"/>
  <c r="L103" i="4" s="1"/>
  <c r="N102" i="4"/>
  <c r="H102" i="4"/>
  <c r="L102" i="4" s="1"/>
  <c r="N101" i="4"/>
  <c r="H101" i="4"/>
  <c r="L101" i="4" s="1"/>
  <c r="N100" i="4"/>
  <c r="H100" i="4"/>
  <c r="L100" i="4" s="1"/>
  <c r="N99" i="4"/>
  <c r="H99" i="4"/>
  <c r="L99" i="4" s="1"/>
  <c r="N98" i="4"/>
  <c r="H98" i="4"/>
  <c r="L98" i="4" s="1"/>
  <c r="M98" i="4" s="1"/>
  <c r="N97" i="4"/>
  <c r="H97" i="4"/>
  <c r="L97" i="4" s="1"/>
  <c r="N96" i="4"/>
  <c r="H96" i="4"/>
  <c r="L96" i="4" s="1"/>
  <c r="N95" i="4"/>
  <c r="H95" i="4"/>
  <c r="L95" i="4" s="1"/>
  <c r="N94" i="4"/>
  <c r="H94" i="4"/>
  <c r="L94" i="4" s="1"/>
  <c r="N93" i="4"/>
  <c r="H93" i="4"/>
  <c r="L93" i="4" s="1"/>
  <c r="N92" i="4"/>
  <c r="H92" i="4"/>
  <c r="L92" i="4" s="1"/>
  <c r="N91" i="4"/>
  <c r="H91" i="4"/>
  <c r="L91" i="4" s="1"/>
  <c r="N90" i="4"/>
  <c r="H90" i="4"/>
  <c r="L90" i="4" s="1"/>
  <c r="P90" i="4" s="1"/>
  <c r="Q90" i="4" s="1"/>
  <c r="N89" i="4"/>
  <c r="H89" i="4"/>
  <c r="L89" i="4" s="1"/>
  <c r="M89" i="4" s="1"/>
  <c r="N88" i="4"/>
  <c r="H88" i="4"/>
  <c r="L88" i="4" s="1"/>
  <c r="N87" i="4"/>
  <c r="H87" i="4"/>
  <c r="L87" i="4" s="1"/>
  <c r="P87" i="4" s="1"/>
  <c r="Q87" i="4" s="1"/>
  <c r="N86" i="4"/>
  <c r="H86" i="4"/>
  <c r="L86" i="4" s="1"/>
  <c r="P86" i="4" s="1"/>
  <c r="Q86" i="4" s="1"/>
  <c r="N85" i="4"/>
  <c r="H85" i="4"/>
  <c r="L85" i="4" s="1"/>
  <c r="N84" i="4"/>
  <c r="H84" i="4"/>
  <c r="F82" i="4"/>
  <c r="E82" i="4"/>
  <c r="L81" i="4"/>
  <c r="M81" i="4" s="1"/>
  <c r="O81" i="4" s="1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L60" i="4" s="1"/>
  <c r="H59" i="4"/>
  <c r="L59" i="4" s="1"/>
  <c r="M59" i="4" s="1"/>
  <c r="H58" i="4"/>
  <c r="L58" i="4" s="1"/>
  <c r="H57" i="4"/>
  <c r="L57" i="4" s="1"/>
  <c r="P57" i="4" s="1"/>
  <c r="Q57" i="4" s="1"/>
  <c r="H56" i="4"/>
  <c r="L56" i="4" s="1"/>
  <c r="P56" i="4" s="1"/>
  <c r="Q56" i="4" s="1"/>
  <c r="H55" i="4"/>
  <c r="L55" i="4" s="1"/>
  <c r="H54" i="4"/>
  <c r="L54" i="4" s="1"/>
  <c r="H53" i="4"/>
  <c r="L53" i="4" s="1"/>
  <c r="P53" i="4" s="1"/>
  <c r="Q53" i="4" s="1"/>
  <c r="H52" i="4"/>
  <c r="L52" i="4" s="1"/>
  <c r="M52" i="4" s="1"/>
  <c r="O52" i="4" s="1"/>
  <c r="H51" i="4"/>
  <c r="L51" i="4" s="1"/>
  <c r="H50" i="4"/>
  <c r="L50" i="4" s="1"/>
  <c r="P50" i="4" s="1"/>
  <c r="Q50" i="4" s="1"/>
  <c r="H49" i="4"/>
  <c r="L49" i="4" s="1"/>
  <c r="M49" i="4" s="1"/>
  <c r="H48" i="4"/>
  <c r="L48" i="4" s="1"/>
  <c r="M48" i="4" s="1"/>
  <c r="H47" i="4"/>
  <c r="L47" i="4" s="1"/>
  <c r="H46" i="4"/>
  <c r="L46" i="4" s="1"/>
  <c r="P46" i="4" s="1"/>
  <c r="Q46" i="4" s="1"/>
  <c r="H45" i="4"/>
  <c r="L45" i="4" s="1"/>
  <c r="P45" i="4" s="1"/>
  <c r="Q45" i="4" s="1"/>
  <c r="H44" i="4"/>
  <c r="L44" i="4" s="1"/>
  <c r="H43" i="4"/>
  <c r="L43" i="4" s="1"/>
  <c r="H42" i="4"/>
  <c r="L42" i="4" s="1"/>
  <c r="P42" i="4" s="1"/>
  <c r="Q42" i="4" s="1"/>
  <c r="H41" i="4"/>
  <c r="L41" i="4" s="1"/>
  <c r="M41" i="4" s="1"/>
  <c r="H40" i="4"/>
  <c r="L40" i="4" s="1"/>
  <c r="H39" i="4"/>
  <c r="L39" i="4" s="1"/>
  <c r="H38" i="4"/>
  <c r="L38" i="4" s="1"/>
  <c r="P38" i="4" s="1"/>
  <c r="Q38" i="4" s="1"/>
  <c r="H37" i="4"/>
  <c r="L37" i="4" s="1"/>
  <c r="M37" i="4" s="1"/>
  <c r="H36" i="4"/>
  <c r="L36" i="4" s="1"/>
  <c r="H35" i="4"/>
  <c r="L35" i="4" s="1"/>
  <c r="H34" i="4"/>
  <c r="L34" i="4" s="1"/>
  <c r="P34" i="4" s="1"/>
  <c r="Q34" i="4" s="1"/>
  <c r="H33" i="4"/>
  <c r="L33" i="4" s="1"/>
  <c r="P33" i="4" s="1"/>
  <c r="Q33" i="4" s="1"/>
  <c r="H32" i="4"/>
  <c r="L32" i="4" s="1"/>
  <c r="M32" i="4" s="1"/>
  <c r="H31" i="4"/>
  <c r="L31" i="4" s="1"/>
  <c r="H30" i="4"/>
  <c r="L30" i="4" s="1"/>
  <c r="P30" i="4" s="1"/>
  <c r="Q30" i="4" s="1"/>
  <c r="H29" i="4"/>
  <c r="L29" i="4" s="1"/>
  <c r="P29" i="4" s="1"/>
  <c r="Q29" i="4" s="1"/>
  <c r="H28" i="4"/>
  <c r="L28" i="4" s="1"/>
  <c r="H27" i="4"/>
  <c r="L27" i="4" s="1"/>
  <c r="H26" i="4"/>
  <c r="L26" i="4" s="1"/>
  <c r="H25" i="4"/>
  <c r="L25" i="4" s="1"/>
  <c r="M25" i="4" s="1"/>
  <c r="H24" i="4"/>
  <c r="L24" i="4" s="1"/>
  <c r="H23" i="4"/>
  <c r="L23" i="4" s="1"/>
  <c r="P22" i="4"/>
  <c r="Q22" i="4" s="1"/>
  <c r="M22" i="4"/>
  <c r="H22" i="4"/>
  <c r="H21" i="4"/>
  <c r="L21" i="4" s="1"/>
  <c r="H20" i="4"/>
  <c r="L20" i="4" s="1"/>
  <c r="H19" i="4"/>
  <c r="L19" i="4" s="1"/>
  <c r="H18" i="4"/>
  <c r="L18" i="4" s="1"/>
  <c r="H17" i="4"/>
  <c r="L17" i="4" s="1"/>
  <c r="P17" i="4" s="1"/>
  <c r="Q17" i="4" s="1"/>
  <c r="H16" i="4"/>
  <c r="L16" i="4" s="1"/>
  <c r="M16" i="4" s="1"/>
  <c r="E207" i="4" l="1"/>
  <c r="F207" i="4"/>
  <c r="O128" i="4"/>
  <c r="O110" i="4"/>
  <c r="O120" i="4"/>
  <c r="O98" i="4"/>
  <c r="L178" i="4"/>
  <c r="M178" i="4" s="1"/>
  <c r="P168" i="4"/>
  <c r="Q168" i="4" s="1"/>
  <c r="O117" i="4"/>
  <c r="O41" i="4"/>
  <c r="O49" i="4"/>
  <c r="M60" i="4"/>
  <c r="O60" i="4" s="1"/>
  <c r="P60" i="4"/>
  <c r="Q60" i="4" s="1"/>
  <c r="M116" i="4"/>
  <c r="O116" i="4" s="1"/>
  <c r="P161" i="4"/>
  <c r="Q161" i="4" s="1"/>
  <c r="L181" i="4"/>
  <c r="M181" i="4" s="1"/>
  <c r="L185" i="4"/>
  <c r="M185" i="4" s="1"/>
  <c r="L197" i="4"/>
  <c r="M197" i="4" s="1"/>
  <c r="H205" i="4"/>
  <c r="O152" i="4"/>
  <c r="M26" i="4"/>
  <c r="O26" i="4" s="1"/>
  <c r="P26" i="4"/>
  <c r="Q26" i="4" s="1"/>
  <c r="P91" i="4"/>
  <c r="Q91" i="4" s="1"/>
  <c r="M91" i="4"/>
  <c r="O91" i="4" s="1"/>
  <c r="P95" i="4"/>
  <c r="Q95" i="4" s="1"/>
  <c r="M95" i="4"/>
  <c r="O95" i="4" s="1"/>
  <c r="M148" i="4"/>
  <c r="P148" i="4"/>
  <c r="Q148" i="4" s="1"/>
  <c r="P154" i="4"/>
  <c r="Q154" i="4" s="1"/>
  <c r="M154" i="4"/>
  <c r="P23" i="4"/>
  <c r="Q23" i="4" s="1"/>
  <c r="M23" i="4"/>
  <c r="O23" i="4" s="1"/>
  <c r="P99" i="4"/>
  <c r="Q99" i="4" s="1"/>
  <c r="M99" i="4"/>
  <c r="O99" i="4" s="1"/>
  <c r="P27" i="4"/>
  <c r="Q27" i="4" s="1"/>
  <c r="M27" i="4"/>
  <c r="O27" i="4" s="1"/>
  <c r="M94" i="4"/>
  <c r="O94" i="4" s="1"/>
  <c r="P94" i="4"/>
  <c r="Q94" i="4" s="1"/>
  <c r="P103" i="4"/>
  <c r="Q103" i="4" s="1"/>
  <c r="M103" i="4"/>
  <c r="O103" i="4" s="1"/>
  <c r="M115" i="4"/>
  <c r="O115" i="4" s="1"/>
  <c r="P115" i="4"/>
  <c r="Q115" i="4" s="1"/>
  <c r="P124" i="4"/>
  <c r="Q124" i="4" s="1"/>
  <c r="M124" i="4"/>
  <c r="O124" i="4" s="1"/>
  <c r="P153" i="4"/>
  <c r="Q153" i="4" s="1"/>
  <c r="M153" i="4"/>
  <c r="P16" i="4"/>
  <c r="Q16" i="4" s="1"/>
  <c r="L200" i="4"/>
  <c r="M200" i="4" s="1"/>
  <c r="L61" i="4"/>
  <c r="P61" i="4" s="1"/>
  <c r="Q61" i="4" s="1"/>
  <c r="L64" i="4"/>
  <c r="M64" i="4" s="1"/>
  <c r="O64" i="4" s="1"/>
  <c r="O89" i="4"/>
  <c r="M90" i="4"/>
  <c r="O90" i="4" s="1"/>
  <c r="M111" i="4"/>
  <c r="O111" i="4" s="1"/>
  <c r="M114" i="4"/>
  <c r="O114" i="4" s="1"/>
  <c r="M119" i="4"/>
  <c r="O119" i="4" s="1"/>
  <c r="M139" i="4"/>
  <c r="S139" i="4" s="1"/>
  <c r="P141" i="4"/>
  <c r="Q141" i="4" s="1"/>
  <c r="M143" i="4"/>
  <c r="S143" i="4" s="1"/>
  <c r="P147" i="4"/>
  <c r="Q147" i="4" s="1"/>
  <c r="M150" i="4"/>
  <c r="M155" i="4"/>
  <c r="P157" i="4"/>
  <c r="Q157" i="4" s="1"/>
  <c r="M159" i="4"/>
  <c r="O159" i="4" s="1"/>
  <c r="M162" i="4"/>
  <c r="P164" i="4"/>
  <c r="Q164" i="4" s="1"/>
  <c r="M166" i="4"/>
  <c r="S166" i="4" s="1"/>
  <c r="M169" i="4"/>
  <c r="O147" i="4"/>
  <c r="O164" i="4"/>
  <c r="Y75" i="4"/>
  <c r="P89" i="4"/>
  <c r="Q89" i="4" s="1"/>
  <c r="O109" i="4"/>
  <c r="P110" i="4"/>
  <c r="Q110" i="4" s="1"/>
  <c r="M17" i="4"/>
  <c r="O17" i="4" s="1"/>
  <c r="O22" i="4"/>
  <c r="M30" i="4"/>
  <c r="O30" i="4" s="1"/>
  <c r="M87" i="4"/>
  <c r="O87" i="4" s="1"/>
  <c r="M121" i="4"/>
  <c r="O121" i="4" s="1"/>
  <c r="K82" i="4"/>
  <c r="L66" i="4"/>
  <c r="M66" i="4" s="1"/>
  <c r="O66" i="4" s="1"/>
  <c r="L67" i="4"/>
  <c r="P67" i="4" s="1"/>
  <c r="Q67" i="4" s="1"/>
  <c r="L68" i="4"/>
  <c r="O16" i="4"/>
  <c r="O25" i="4"/>
  <c r="P32" i="4"/>
  <c r="Q32" i="4" s="1"/>
  <c r="O37" i="4"/>
  <c r="O48" i="4"/>
  <c r="L76" i="4"/>
  <c r="P76" i="4" s="1"/>
  <c r="Q76" i="4" s="1"/>
  <c r="L79" i="4"/>
  <c r="M79" i="4" s="1"/>
  <c r="O79" i="4" s="1"/>
  <c r="L80" i="4"/>
  <c r="P80" i="4" s="1"/>
  <c r="L126" i="4"/>
  <c r="M126" i="4" s="1"/>
  <c r="O126" i="4" s="1"/>
  <c r="L182" i="4"/>
  <c r="M182" i="4" s="1"/>
  <c r="L186" i="4"/>
  <c r="M186" i="4" s="1"/>
  <c r="L190" i="4"/>
  <c r="P190" i="4" s="1"/>
  <c r="Q190" i="4" s="1"/>
  <c r="L194" i="4"/>
  <c r="M194" i="4" s="1"/>
  <c r="L198" i="4"/>
  <c r="M198" i="4" s="1"/>
  <c r="W13" i="4"/>
  <c r="L69" i="4"/>
  <c r="P69" i="4" s="1"/>
  <c r="Q69" i="4" s="1"/>
  <c r="L72" i="4"/>
  <c r="M72" i="4" s="1"/>
  <c r="O72" i="4" s="1"/>
  <c r="L180" i="4"/>
  <c r="P180" i="4" s="1"/>
  <c r="Q180" i="4" s="1"/>
  <c r="O32" i="4"/>
  <c r="L130" i="4"/>
  <c r="P171" i="4"/>
  <c r="Q171" i="4" s="1"/>
  <c r="P49" i="4"/>
  <c r="Q49" i="4" s="1"/>
  <c r="M183" i="4"/>
  <c r="P183" i="4"/>
  <c r="Q183" i="4" s="1"/>
  <c r="M187" i="4"/>
  <c r="P187" i="4"/>
  <c r="Q187" i="4" s="1"/>
  <c r="M191" i="4"/>
  <c r="P191" i="4"/>
  <c r="Q191" i="4" s="1"/>
  <c r="M195" i="4"/>
  <c r="P195" i="4"/>
  <c r="Q195" i="4" s="1"/>
  <c r="M199" i="4"/>
  <c r="O199" i="4" s="1"/>
  <c r="P199" i="4"/>
  <c r="Q199" i="4" s="1"/>
  <c r="M33" i="4"/>
  <c r="O33" i="4" s="1"/>
  <c r="M34" i="4"/>
  <c r="O34" i="4" s="1"/>
  <c r="L65" i="4"/>
  <c r="M65" i="4" s="1"/>
  <c r="O65" i="4" s="1"/>
  <c r="L71" i="4"/>
  <c r="M71" i="4" s="1"/>
  <c r="O71" i="4" s="1"/>
  <c r="L77" i="4"/>
  <c r="P77" i="4" s="1"/>
  <c r="Q77" i="4" s="1"/>
  <c r="P37" i="4"/>
  <c r="Q37" i="4" s="1"/>
  <c r="M50" i="4"/>
  <c r="O50" i="4" s="1"/>
  <c r="O59" i="4"/>
  <c r="J82" i="4"/>
  <c r="L74" i="4"/>
  <c r="P74" i="4" s="1"/>
  <c r="Q74" i="4" s="1"/>
  <c r="L75" i="4"/>
  <c r="M46" i="4"/>
  <c r="O46" i="4" s="1"/>
  <c r="L73" i="4"/>
  <c r="P73" i="4" s="1"/>
  <c r="Q73" i="4" s="1"/>
  <c r="N136" i="4"/>
  <c r="X41" i="4"/>
  <c r="M42" i="4"/>
  <c r="O42" i="4" s="1"/>
  <c r="M57" i="4"/>
  <c r="O57" i="4" s="1"/>
  <c r="L63" i="4"/>
  <c r="M63" i="4" s="1"/>
  <c r="O63" i="4" s="1"/>
  <c r="L131" i="4"/>
  <c r="P131" i="4" s="1"/>
  <c r="Q131" i="4" s="1"/>
  <c r="L184" i="4"/>
  <c r="M184" i="4" s="1"/>
  <c r="L188" i="4"/>
  <c r="L189" i="4"/>
  <c r="P189" i="4" s="1"/>
  <c r="Q189" i="4" s="1"/>
  <c r="L192" i="4"/>
  <c r="L193" i="4"/>
  <c r="M193" i="4" s="1"/>
  <c r="L196" i="4"/>
  <c r="M196" i="4" s="1"/>
  <c r="P170" i="4"/>
  <c r="Q170" i="4" s="1"/>
  <c r="O170" i="4"/>
  <c r="M146" i="4"/>
  <c r="M38" i="4"/>
  <c r="O38" i="4" s="1"/>
  <c r="M53" i="4"/>
  <c r="O53" i="4" s="1"/>
  <c r="M36" i="4"/>
  <c r="O36" i="4" s="1"/>
  <c r="P36" i="4"/>
  <c r="Q36" i="4" s="1"/>
  <c r="M93" i="4"/>
  <c r="O93" i="4" s="1"/>
  <c r="P93" i="4"/>
  <c r="Q93" i="4" s="1"/>
  <c r="M55" i="4"/>
  <c r="O55" i="4" s="1"/>
  <c r="P55" i="4"/>
  <c r="Q55" i="4" s="1"/>
  <c r="M92" i="4"/>
  <c r="O92" i="4" s="1"/>
  <c r="P92" i="4"/>
  <c r="Q92" i="4" s="1"/>
  <c r="P104" i="4"/>
  <c r="Q104" i="4" s="1"/>
  <c r="M104" i="4"/>
  <c r="O104" i="4" s="1"/>
  <c r="M24" i="4"/>
  <c r="O24" i="4" s="1"/>
  <c r="P24" i="4"/>
  <c r="Q24" i="4" s="1"/>
  <c r="M40" i="4"/>
  <c r="O40" i="4" s="1"/>
  <c r="P40" i="4"/>
  <c r="Q40" i="4" s="1"/>
  <c r="M45" i="4"/>
  <c r="O45" i="4" s="1"/>
  <c r="M56" i="4"/>
  <c r="O56" i="4" s="1"/>
  <c r="M97" i="4"/>
  <c r="O97" i="4" s="1"/>
  <c r="P97" i="4"/>
  <c r="Q97" i="4" s="1"/>
  <c r="M131" i="4"/>
  <c r="O131" i="4" s="1"/>
  <c r="M145" i="4"/>
  <c r="S145" i="4" s="1"/>
  <c r="P145" i="4"/>
  <c r="Q145" i="4" s="1"/>
  <c r="M21" i="4"/>
  <c r="O21" i="4" s="1"/>
  <c r="P21" i="4"/>
  <c r="Q21" i="4" s="1"/>
  <c r="P25" i="4"/>
  <c r="Q25" i="4" s="1"/>
  <c r="P41" i="4"/>
  <c r="Q41" i="4" s="1"/>
  <c r="M51" i="4"/>
  <c r="O51" i="4" s="1"/>
  <c r="P51" i="4"/>
  <c r="Q51" i="4" s="1"/>
  <c r="P52" i="4"/>
  <c r="Q52" i="4" s="1"/>
  <c r="H82" i="4"/>
  <c r="M18" i="4"/>
  <c r="O18" i="4" s="1"/>
  <c r="M28" i="4"/>
  <c r="O28" i="4" s="1"/>
  <c r="P28" i="4"/>
  <c r="Q28" i="4" s="1"/>
  <c r="M29" i="4"/>
  <c r="O29" i="4" s="1"/>
  <c r="P48" i="4"/>
  <c r="Q48" i="4" s="1"/>
  <c r="P59" i="4"/>
  <c r="Q59" i="4" s="1"/>
  <c r="M86" i="4"/>
  <c r="O86" i="4" s="1"/>
  <c r="M101" i="4"/>
  <c r="O101" i="4" s="1"/>
  <c r="P101" i="4"/>
  <c r="Q101" i="4" s="1"/>
  <c r="M118" i="4"/>
  <c r="O118" i="4" s="1"/>
  <c r="P118" i="4"/>
  <c r="Q118" i="4" s="1"/>
  <c r="M123" i="4"/>
  <c r="O123" i="4" s="1"/>
  <c r="P123" i="4"/>
  <c r="Q123" i="4" s="1"/>
  <c r="M35" i="4"/>
  <c r="O35" i="4" s="1"/>
  <c r="P35" i="4"/>
  <c r="Q35" i="4" s="1"/>
  <c r="M44" i="4"/>
  <c r="O44" i="4" s="1"/>
  <c r="P44" i="4"/>
  <c r="Q44" i="4" s="1"/>
  <c r="P20" i="4"/>
  <c r="Q20" i="4" s="1"/>
  <c r="M20" i="4"/>
  <c r="O20" i="4" s="1"/>
  <c r="M127" i="4"/>
  <c r="O127" i="4" s="1"/>
  <c r="P127" i="4"/>
  <c r="Q127" i="4" s="1"/>
  <c r="M19" i="4"/>
  <c r="O19" i="4" s="1"/>
  <c r="P19" i="4"/>
  <c r="Q19" i="4" s="1"/>
  <c r="M39" i="4"/>
  <c r="O39" i="4" s="1"/>
  <c r="P39" i="4"/>
  <c r="Q39" i="4" s="1"/>
  <c r="P81" i="4"/>
  <c r="M85" i="4"/>
  <c r="O85" i="4" s="1"/>
  <c r="P85" i="4"/>
  <c r="Q85" i="4" s="1"/>
  <c r="M96" i="4"/>
  <c r="O96" i="4" s="1"/>
  <c r="P96" i="4"/>
  <c r="Q96" i="4" s="1"/>
  <c r="P98" i="4"/>
  <c r="Q98" i="4" s="1"/>
  <c r="M102" i="4"/>
  <c r="O102" i="4" s="1"/>
  <c r="P102" i="4"/>
  <c r="Q102" i="4" s="1"/>
  <c r="M106" i="4"/>
  <c r="O106" i="4" s="1"/>
  <c r="P106" i="4"/>
  <c r="Q106" i="4" s="1"/>
  <c r="P107" i="4"/>
  <c r="Q107" i="4" s="1"/>
  <c r="M107" i="4"/>
  <c r="O107" i="4" s="1"/>
  <c r="K136" i="4"/>
  <c r="M31" i="4"/>
  <c r="O31" i="4" s="1"/>
  <c r="P31" i="4"/>
  <c r="Q31" i="4" s="1"/>
  <c r="M47" i="4"/>
  <c r="O47" i="4" s="1"/>
  <c r="P47" i="4"/>
  <c r="Q47" i="4" s="1"/>
  <c r="M58" i="4"/>
  <c r="O58" i="4" s="1"/>
  <c r="P58" i="4"/>
  <c r="Q58" i="4" s="1"/>
  <c r="M43" i="4"/>
  <c r="O43" i="4" s="1"/>
  <c r="P43" i="4"/>
  <c r="Q43" i="4" s="1"/>
  <c r="M54" i="4"/>
  <c r="O54" i="4" s="1"/>
  <c r="P54" i="4"/>
  <c r="Q54" i="4" s="1"/>
  <c r="L62" i="4"/>
  <c r="L70" i="4"/>
  <c r="L78" i="4"/>
  <c r="H136" i="4"/>
  <c r="L84" i="4"/>
  <c r="M100" i="4"/>
  <c r="O100" i="4" s="1"/>
  <c r="P100" i="4"/>
  <c r="Q100" i="4" s="1"/>
  <c r="M105" i="4"/>
  <c r="O105" i="4" s="1"/>
  <c r="P105" i="4"/>
  <c r="Q105" i="4" s="1"/>
  <c r="P117" i="4"/>
  <c r="Q117" i="4" s="1"/>
  <c r="P149" i="4"/>
  <c r="Q149" i="4" s="1"/>
  <c r="M149" i="4"/>
  <c r="S149" i="4" s="1"/>
  <c r="M113" i="4"/>
  <c r="O113" i="4" s="1"/>
  <c r="P113" i="4"/>
  <c r="Q113" i="4" s="1"/>
  <c r="P172" i="4"/>
  <c r="Q172" i="4" s="1"/>
  <c r="M172" i="4"/>
  <c r="M88" i="4"/>
  <c r="O88" i="4" s="1"/>
  <c r="P88" i="4"/>
  <c r="Q88" i="4" s="1"/>
  <c r="P112" i="4"/>
  <c r="Q112" i="4" s="1"/>
  <c r="M112" i="4"/>
  <c r="O112" i="4" s="1"/>
  <c r="H176" i="4"/>
  <c r="L138" i="4"/>
  <c r="M108" i="4"/>
  <c r="O108" i="4" s="1"/>
  <c r="P109" i="4"/>
  <c r="Q109" i="4" s="1"/>
  <c r="M122" i="4"/>
  <c r="O122" i="4" s="1"/>
  <c r="P122" i="4"/>
  <c r="Q122" i="4" s="1"/>
  <c r="P125" i="4"/>
  <c r="Q125" i="4" s="1"/>
  <c r="M125" i="4"/>
  <c r="O125" i="4" s="1"/>
  <c r="J136" i="4"/>
  <c r="P142" i="4"/>
  <c r="Q142" i="4" s="1"/>
  <c r="M142" i="4"/>
  <c r="S142" i="4" s="1"/>
  <c r="M151" i="4"/>
  <c r="P158" i="4"/>
  <c r="Q158" i="4" s="1"/>
  <c r="M158" i="4"/>
  <c r="S158" i="4" s="1"/>
  <c r="P165" i="4"/>
  <c r="Q165" i="4" s="1"/>
  <c r="M165" i="4"/>
  <c r="P179" i="4"/>
  <c r="Q179" i="4" s="1"/>
  <c r="P128" i="4"/>
  <c r="Q128" i="4" s="1"/>
  <c r="P120" i="4"/>
  <c r="Q120" i="4" s="1"/>
  <c r="M140" i="4"/>
  <c r="S140" i="4" s="1"/>
  <c r="P140" i="4"/>
  <c r="Q140" i="4" s="1"/>
  <c r="M144" i="4"/>
  <c r="S144" i="4" s="1"/>
  <c r="P144" i="4"/>
  <c r="Q144" i="4" s="1"/>
  <c r="P152" i="4"/>
  <c r="Q152" i="4" s="1"/>
  <c r="M156" i="4"/>
  <c r="S156" i="4" s="1"/>
  <c r="P156" i="4"/>
  <c r="Q156" i="4" s="1"/>
  <c r="M160" i="4"/>
  <c r="P160" i="4"/>
  <c r="Q160" i="4" s="1"/>
  <c r="M163" i="4"/>
  <c r="O163" i="4" s="1"/>
  <c r="P163" i="4"/>
  <c r="Q163" i="4" s="1"/>
  <c r="M167" i="4"/>
  <c r="P167" i="4"/>
  <c r="Q167" i="4" s="1"/>
  <c r="J205" i="4"/>
  <c r="L129" i="4"/>
  <c r="K205" i="4"/>
  <c r="U142" i="2"/>
  <c r="U143" i="2"/>
  <c r="U144" i="2"/>
  <c r="U145" i="2"/>
  <c r="S145" i="2" s="1"/>
  <c r="U146" i="2"/>
  <c r="U147" i="2"/>
  <c r="U148" i="2"/>
  <c r="U149" i="2"/>
  <c r="S149" i="2" s="1"/>
  <c r="U150" i="2"/>
  <c r="U151" i="2"/>
  <c r="U152" i="2"/>
  <c r="U153" i="2"/>
  <c r="S153" i="2" s="1"/>
  <c r="U154" i="2"/>
  <c r="U141" i="2"/>
  <c r="U123" i="2"/>
  <c r="U124" i="2"/>
  <c r="U125" i="2"/>
  <c r="U126" i="2"/>
  <c r="S126" i="2" s="1"/>
  <c r="U127" i="2"/>
  <c r="U128" i="2"/>
  <c r="U129" i="2"/>
  <c r="U130" i="2"/>
  <c r="S130" i="2" s="1"/>
  <c r="U131" i="2"/>
  <c r="U132" i="2"/>
  <c r="U133" i="2"/>
  <c r="U134" i="2"/>
  <c r="S134" i="2" s="1"/>
  <c r="U135" i="2"/>
  <c r="U122" i="2"/>
  <c r="U116" i="2"/>
  <c r="U104" i="2"/>
  <c r="U105" i="2"/>
  <c r="U106" i="2"/>
  <c r="U107" i="2"/>
  <c r="S107" i="2" s="1"/>
  <c r="U108" i="2"/>
  <c r="U109" i="2"/>
  <c r="U110" i="2"/>
  <c r="U111" i="2"/>
  <c r="S111" i="2" s="1"/>
  <c r="U112" i="2"/>
  <c r="U113" i="2"/>
  <c r="U114" i="2"/>
  <c r="U115" i="2"/>
  <c r="S115" i="2" s="1"/>
  <c r="U103" i="2"/>
  <c r="U84" i="2"/>
  <c r="U85" i="2"/>
  <c r="U86" i="2"/>
  <c r="U87" i="2"/>
  <c r="U88" i="2"/>
  <c r="U89" i="2"/>
  <c r="U90" i="2"/>
  <c r="S90" i="2" s="1"/>
  <c r="U91" i="2"/>
  <c r="U92" i="2"/>
  <c r="U93" i="2"/>
  <c r="U94" i="2"/>
  <c r="U95" i="2"/>
  <c r="U96" i="2"/>
  <c r="U83" i="2"/>
  <c r="U66" i="2"/>
  <c r="U67" i="2"/>
  <c r="U68" i="2"/>
  <c r="U69" i="2"/>
  <c r="S69" i="2" s="1"/>
  <c r="U70" i="2"/>
  <c r="S70" i="2" s="1"/>
  <c r="U71" i="2"/>
  <c r="U72" i="2"/>
  <c r="U73" i="2"/>
  <c r="S73" i="2" s="1"/>
  <c r="U74" i="2"/>
  <c r="U75" i="2"/>
  <c r="U76" i="2"/>
  <c r="U77" i="2"/>
  <c r="S77" i="2" s="1"/>
  <c r="U78" i="2"/>
  <c r="U65" i="2"/>
  <c r="U47" i="2"/>
  <c r="U48" i="2"/>
  <c r="U49" i="2"/>
  <c r="U50" i="2"/>
  <c r="S50" i="2" s="1"/>
  <c r="U51" i="2"/>
  <c r="U52" i="2"/>
  <c r="U53" i="2"/>
  <c r="U54" i="2"/>
  <c r="S54" i="2" s="1"/>
  <c r="U55" i="2"/>
  <c r="U56" i="2"/>
  <c r="U57" i="2"/>
  <c r="U58" i="2"/>
  <c r="S58" i="2" s="1"/>
  <c r="U59" i="2"/>
  <c r="U60" i="2"/>
  <c r="U46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25" i="2"/>
  <c r="U7" i="2"/>
  <c r="U8" i="2"/>
  <c r="U9" i="2"/>
  <c r="S9" i="2" s="1"/>
  <c r="U10" i="2"/>
  <c r="S10" i="2" s="1"/>
  <c r="U11" i="2"/>
  <c r="U12" i="2"/>
  <c r="U13" i="2"/>
  <c r="S13" i="2" s="1"/>
  <c r="U14" i="2"/>
  <c r="U15" i="2"/>
  <c r="U16" i="2"/>
  <c r="U17" i="2"/>
  <c r="S17" i="2" s="1"/>
  <c r="U18" i="2"/>
  <c r="U19" i="2"/>
  <c r="U6" i="2"/>
  <c r="S176" i="2"/>
  <c r="R176" i="2"/>
  <c r="X175" i="2"/>
  <c r="S175" i="2"/>
  <c r="R175" i="2"/>
  <c r="W174" i="2"/>
  <c r="S174" i="2"/>
  <c r="R174" i="2"/>
  <c r="W173" i="2"/>
  <c r="S173" i="2"/>
  <c r="R173" i="2"/>
  <c r="W172" i="2"/>
  <c r="S172" i="2"/>
  <c r="R172" i="2"/>
  <c r="W171" i="2"/>
  <c r="S171" i="2"/>
  <c r="R171" i="2"/>
  <c r="W170" i="2"/>
  <c r="S170" i="2"/>
  <c r="R170" i="2"/>
  <c r="W169" i="2"/>
  <c r="S169" i="2"/>
  <c r="R169" i="2"/>
  <c r="W168" i="2"/>
  <c r="S168" i="2"/>
  <c r="R168" i="2"/>
  <c r="S167" i="2"/>
  <c r="R167" i="2"/>
  <c r="S166" i="2"/>
  <c r="R166" i="2"/>
  <c r="S165" i="2"/>
  <c r="R165" i="2"/>
  <c r="S164" i="2"/>
  <c r="R164" i="2"/>
  <c r="S163" i="2"/>
  <c r="R163" i="2"/>
  <c r="S162" i="2"/>
  <c r="R162" i="2"/>
  <c r="S161" i="2"/>
  <c r="R161" i="2"/>
  <c r="S160" i="2"/>
  <c r="R160" i="2"/>
  <c r="S159" i="2"/>
  <c r="R159" i="2"/>
  <c r="S158" i="2"/>
  <c r="R158" i="2"/>
  <c r="S157" i="2"/>
  <c r="R157" i="2"/>
  <c r="S156" i="2"/>
  <c r="R156" i="2"/>
  <c r="X155" i="2"/>
  <c r="S155" i="2"/>
  <c r="R155" i="2"/>
  <c r="W154" i="2"/>
  <c r="S154" i="2"/>
  <c r="R154" i="2"/>
  <c r="W153" i="2"/>
  <c r="R153" i="2"/>
  <c r="W152" i="2"/>
  <c r="S152" i="2"/>
  <c r="R152" i="2"/>
  <c r="W151" i="2"/>
  <c r="S151" i="2"/>
  <c r="R151" i="2"/>
  <c r="W150" i="2"/>
  <c r="S150" i="2"/>
  <c r="R150" i="2"/>
  <c r="W149" i="2"/>
  <c r="R149" i="2"/>
  <c r="W148" i="2"/>
  <c r="S148" i="2"/>
  <c r="R148" i="2"/>
  <c r="S147" i="2"/>
  <c r="R147" i="2"/>
  <c r="S146" i="2"/>
  <c r="R146" i="2"/>
  <c r="R145" i="2"/>
  <c r="S144" i="2"/>
  <c r="R144" i="2"/>
  <c r="S143" i="2"/>
  <c r="R143" i="2"/>
  <c r="S142" i="2"/>
  <c r="R142" i="2"/>
  <c r="S141" i="2"/>
  <c r="R141" i="2"/>
  <c r="S140" i="2"/>
  <c r="R140" i="2"/>
  <c r="S139" i="2"/>
  <c r="R139" i="2"/>
  <c r="S138" i="2"/>
  <c r="R138" i="2"/>
  <c r="S137" i="2"/>
  <c r="R137" i="2"/>
  <c r="X136" i="2"/>
  <c r="S136" i="2"/>
  <c r="R136" i="2"/>
  <c r="W135" i="2"/>
  <c r="S135" i="2"/>
  <c r="R135" i="2"/>
  <c r="W134" i="2"/>
  <c r="R134" i="2"/>
  <c r="W133" i="2"/>
  <c r="S133" i="2"/>
  <c r="R133" i="2"/>
  <c r="W132" i="2"/>
  <c r="S132" i="2"/>
  <c r="R132" i="2"/>
  <c r="W131" i="2"/>
  <c r="S131" i="2"/>
  <c r="R131" i="2"/>
  <c r="W130" i="2"/>
  <c r="R130" i="2"/>
  <c r="W129" i="2"/>
  <c r="S129" i="2"/>
  <c r="R129" i="2"/>
  <c r="S128" i="2"/>
  <c r="R128" i="2"/>
  <c r="S127" i="2"/>
  <c r="R127" i="2"/>
  <c r="R126" i="2"/>
  <c r="S125" i="2"/>
  <c r="R125" i="2"/>
  <c r="S124" i="2"/>
  <c r="R124" i="2"/>
  <c r="S123" i="2"/>
  <c r="R123" i="2"/>
  <c r="S122" i="2"/>
  <c r="R122" i="2"/>
  <c r="S121" i="2"/>
  <c r="R121" i="2"/>
  <c r="S120" i="2"/>
  <c r="R120" i="2"/>
  <c r="S119" i="2"/>
  <c r="R119" i="2"/>
  <c r="S118" i="2"/>
  <c r="R118" i="2"/>
  <c r="X117" i="2"/>
  <c r="S117" i="2"/>
  <c r="R117" i="2"/>
  <c r="S116" i="2"/>
  <c r="R116" i="2"/>
  <c r="R115" i="2"/>
  <c r="S114" i="2"/>
  <c r="R114" i="2"/>
  <c r="S113" i="2"/>
  <c r="R113" i="2"/>
  <c r="S112" i="2"/>
  <c r="R112" i="2"/>
  <c r="R111" i="2"/>
  <c r="S110" i="2"/>
  <c r="R110" i="2"/>
  <c r="S109" i="2"/>
  <c r="R109" i="2"/>
  <c r="S108" i="2"/>
  <c r="R108" i="2"/>
  <c r="R107" i="2"/>
  <c r="S106" i="2"/>
  <c r="R106" i="2"/>
  <c r="S105" i="2"/>
  <c r="R105" i="2"/>
  <c r="S104" i="2"/>
  <c r="R104" i="2"/>
  <c r="S103" i="2"/>
  <c r="R103" i="2"/>
  <c r="S102" i="2"/>
  <c r="R102" i="2"/>
  <c r="S101" i="2"/>
  <c r="R101" i="2"/>
  <c r="S100" i="2"/>
  <c r="R100" i="2"/>
  <c r="S99" i="2"/>
  <c r="R99" i="2"/>
  <c r="S98" i="2"/>
  <c r="R98" i="2"/>
  <c r="X97" i="2"/>
  <c r="S97" i="2"/>
  <c r="R97" i="2"/>
  <c r="S96" i="2"/>
  <c r="R96" i="2"/>
  <c r="S95" i="2"/>
  <c r="R95" i="2"/>
  <c r="S94" i="2"/>
  <c r="R94" i="2"/>
  <c r="S93" i="2"/>
  <c r="R93" i="2"/>
  <c r="S92" i="2"/>
  <c r="R92" i="2"/>
  <c r="S91" i="2"/>
  <c r="R91" i="2"/>
  <c r="R90" i="2"/>
  <c r="S89" i="2"/>
  <c r="R89" i="2"/>
  <c r="S88" i="2"/>
  <c r="R88" i="2"/>
  <c r="S87" i="2"/>
  <c r="R87" i="2"/>
  <c r="S86" i="2"/>
  <c r="R86" i="2"/>
  <c r="S85" i="2"/>
  <c r="R85" i="2"/>
  <c r="S84" i="2"/>
  <c r="R84" i="2"/>
  <c r="S83" i="2"/>
  <c r="R83" i="2"/>
  <c r="S82" i="2"/>
  <c r="R82" i="2"/>
  <c r="S81" i="2"/>
  <c r="R81" i="2"/>
  <c r="S80" i="2"/>
  <c r="R80" i="2"/>
  <c r="X79" i="2"/>
  <c r="S79" i="2"/>
  <c r="R79" i="2"/>
  <c r="S78" i="2"/>
  <c r="R78" i="2"/>
  <c r="R77" i="2"/>
  <c r="S76" i="2"/>
  <c r="R76" i="2"/>
  <c r="S75" i="2"/>
  <c r="R75" i="2"/>
  <c r="S74" i="2"/>
  <c r="R74" i="2"/>
  <c r="R73" i="2"/>
  <c r="S72" i="2"/>
  <c r="R72" i="2"/>
  <c r="S71" i="2"/>
  <c r="R71" i="2"/>
  <c r="R70" i="2"/>
  <c r="R69" i="2"/>
  <c r="S68" i="2"/>
  <c r="R68" i="2"/>
  <c r="S67" i="2"/>
  <c r="R67" i="2"/>
  <c r="S66" i="2"/>
  <c r="R66" i="2"/>
  <c r="S65" i="2"/>
  <c r="R65" i="2"/>
  <c r="S64" i="2"/>
  <c r="R64" i="2"/>
  <c r="S63" i="2"/>
  <c r="R63" i="2"/>
  <c r="S62" i="2"/>
  <c r="R62" i="2"/>
  <c r="X61" i="2"/>
  <c r="S61" i="2"/>
  <c r="R61" i="2"/>
  <c r="S60" i="2"/>
  <c r="R60" i="2"/>
  <c r="S59" i="2"/>
  <c r="R59" i="2"/>
  <c r="R58" i="2"/>
  <c r="S57" i="2"/>
  <c r="R57" i="2"/>
  <c r="S56" i="2"/>
  <c r="R56" i="2"/>
  <c r="S55" i="2"/>
  <c r="R55" i="2"/>
  <c r="R54" i="2"/>
  <c r="S53" i="2"/>
  <c r="R53" i="2"/>
  <c r="S52" i="2"/>
  <c r="R52" i="2"/>
  <c r="S51" i="2"/>
  <c r="R51" i="2"/>
  <c r="R50" i="2"/>
  <c r="S49" i="2"/>
  <c r="R49" i="2"/>
  <c r="S48" i="2"/>
  <c r="R48" i="2"/>
  <c r="S47" i="2"/>
  <c r="R47" i="2"/>
  <c r="S46" i="2"/>
  <c r="R46" i="2"/>
  <c r="S45" i="2"/>
  <c r="R45" i="2"/>
  <c r="S44" i="2"/>
  <c r="R44" i="2"/>
  <c r="S43" i="2"/>
  <c r="R43" i="2"/>
  <c r="S42" i="2"/>
  <c r="R42" i="2"/>
  <c r="S41" i="2"/>
  <c r="R41" i="2"/>
  <c r="W40" i="2"/>
  <c r="S40" i="2"/>
  <c r="R40" i="2"/>
  <c r="S39" i="2"/>
  <c r="R39" i="2"/>
  <c r="S38" i="2"/>
  <c r="R38" i="2"/>
  <c r="S37" i="2"/>
  <c r="R37" i="2"/>
  <c r="S36" i="2"/>
  <c r="R36" i="2"/>
  <c r="S35" i="2"/>
  <c r="R35" i="2"/>
  <c r="S34" i="2"/>
  <c r="R34" i="2"/>
  <c r="S33" i="2"/>
  <c r="R33" i="2"/>
  <c r="S32" i="2"/>
  <c r="R32" i="2"/>
  <c r="S31" i="2"/>
  <c r="R31" i="2"/>
  <c r="S30" i="2"/>
  <c r="R30" i="2"/>
  <c r="S29" i="2"/>
  <c r="R29" i="2"/>
  <c r="S28" i="2"/>
  <c r="R28" i="2"/>
  <c r="S27" i="2"/>
  <c r="R27" i="2"/>
  <c r="S26" i="2"/>
  <c r="R26" i="2"/>
  <c r="S25" i="2"/>
  <c r="R25" i="2"/>
  <c r="S24" i="2"/>
  <c r="R24" i="2"/>
  <c r="S23" i="2"/>
  <c r="R23" i="2"/>
  <c r="S22" i="2"/>
  <c r="R22" i="2"/>
  <c r="S21" i="2"/>
  <c r="R21" i="2"/>
  <c r="X20" i="2"/>
  <c r="W20" i="2"/>
  <c r="S20" i="2"/>
  <c r="R20" i="2"/>
  <c r="S19" i="2"/>
  <c r="R19" i="2"/>
  <c r="S18" i="2"/>
  <c r="R18" i="2"/>
  <c r="R17" i="2"/>
  <c r="S16" i="2"/>
  <c r="R16" i="2"/>
  <c r="S15" i="2"/>
  <c r="R15" i="2"/>
  <c r="S14" i="2"/>
  <c r="R14" i="2"/>
  <c r="R13" i="2"/>
  <c r="S12" i="2"/>
  <c r="R12" i="2"/>
  <c r="S11" i="2"/>
  <c r="R11" i="2"/>
  <c r="R10" i="2"/>
  <c r="R9" i="2"/>
  <c r="S8" i="2"/>
  <c r="R8" i="2"/>
  <c r="S7" i="2"/>
  <c r="R7" i="2"/>
  <c r="S6" i="2"/>
  <c r="R6" i="2"/>
  <c r="X58" i="4"/>
  <c r="AA58" i="4" s="1"/>
  <c r="X57" i="4"/>
  <c r="AA57" i="4" s="1"/>
  <c r="X56" i="4"/>
  <c r="AA56" i="4" s="1"/>
  <c r="X55" i="4"/>
  <c r="AA55" i="4" s="1"/>
  <c r="X54" i="4"/>
  <c r="AA54" i="4" s="1"/>
  <c r="X53" i="4"/>
  <c r="AA53" i="4" s="1"/>
  <c r="X52" i="4"/>
  <c r="AA52" i="4" s="1"/>
  <c r="X51" i="4"/>
  <c r="AA51" i="4" s="1"/>
  <c r="Z59" i="4"/>
  <c r="Y59" i="4"/>
  <c r="AU39" i="4"/>
  <c r="AR39" i="4"/>
  <c r="AO39" i="4"/>
  <c r="AI39" i="4"/>
  <c r="AZ34" i="4"/>
  <c r="J6" i="2"/>
  <c r="H6" i="2" s="1"/>
  <c r="F155" i="12"/>
  <c r="E155" i="12"/>
  <c r="O150" i="12"/>
  <c r="K150" i="12"/>
  <c r="J150" i="12"/>
  <c r="H150" i="12"/>
  <c r="O149" i="12"/>
  <c r="K149" i="12"/>
  <c r="J149" i="12"/>
  <c r="H149" i="12"/>
  <c r="O148" i="12"/>
  <c r="K148" i="12"/>
  <c r="J148" i="12"/>
  <c r="H148" i="12"/>
  <c r="O147" i="12"/>
  <c r="K147" i="12"/>
  <c r="J147" i="12"/>
  <c r="H147" i="12"/>
  <c r="O146" i="12"/>
  <c r="K146" i="12"/>
  <c r="J146" i="12"/>
  <c r="H146" i="12"/>
  <c r="O145" i="12"/>
  <c r="K145" i="12"/>
  <c r="J145" i="12"/>
  <c r="H145" i="12"/>
  <c r="O144" i="12"/>
  <c r="K144" i="12"/>
  <c r="J144" i="12"/>
  <c r="H144" i="12"/>
  <c r="O143" i="12"/>
  <c r="K143" i="12"/>
  <c r="J143" i="12"/>
  <c r="H143" i="12"/>
  <c r="K142" i="12"/>
  <c r="J142" i="12"/>
  <c r="H142" i="12"/>
  <c r="F140" i="12"/>
  <c r="E140" i="12"/>
  <c r="O136" i="12"/>
  <c r="K136" i="12"/>
  <c r="J136" i="12"/>
  <c r="H136" i="12"/>
  <c r="O135" i="12"/>
  <c r="K135" i="12"/>
  <c r="J135" i="12"/>
  <c r="H135" i="12"/>
  <c r="O134" i="12"/>
  <c r="K134" i="12"/>
  <c r="J134" i="12"/>
  <c r="H134" i="12"/>
  <c r="O133" i="12"/>
  <c r="K133" i="12"/>
  <c r="J133" i="12"/>
  <c r="H133" i="12"/>
  <c r="O132" i="12"/>
  <c r="K132" i="12"/>
  <c r="L132" i="12" s="1"/>
  <c r="M132" i="12" s="1"/>
  <c r="S132" i="12" s="1"/>
  <c r="J132" i="12"/>
  <c r="H132" i="12"/>
  <c r="O131" i="12"/>
  <c r="L131" i="12"/>
  <c r="K131" i="12"/>
  <c r="J131" i="12"/>
  <c r="H131" i="12"/>
  <c r="O130" i="12"/>
  <c r="K130" i="12"/>
  <c r="J130" i="12"/>
  <c r="H130" i="12"/>
  <c r="L130" i="12" s="1"/>
  <c r="P130" i="12" s="1"/>
  <c r="Q130" i="12" s="1"/>
  <c r="O129" i="12"/>
  <c r="K129" i="12"/>
  <c r="J129" i="12"/>
  <c r="H129" i="12"/>
  <c r="O128" i="12"/>
  <c r="K128" i="12"/>
  <c r="J128" i="12"/>
  <c r="H128" i="12"/>
  <c r="O127" i="12"/>
  <c r="K127" i="12"/>
  <c r="J127" i="12"/>
  <c r="H127" i="12"/>
  <c r="O126" i="12"/>
  <c r="K126" i="12"/>
  <c r="J126" i="12"/>
  <c r="H126" i="12"/>
  <c r="K125" i="12"/>
  <c r="J125" i="12"/>
  <c r="H125" i="12"/>
  <c r="O124" i="12"/>
  <c r="K124" i="12"/>
  <c r="L124" i="12" s="1"/>
  <c r="M124" i="12" s="1"/>
  <c r="S124" i="12" s="1"/>
  <c r="J124" i="12"/>
  <c r="H124" i="12"/>
  <c r="O123" i="12"/>
  <c r="L123" i="12"/>
  <c r="K123" i="12"/>
  <c r="J123" i="12"/>
  <c r="H123" i="12"/>
  <c r="O122" i="12"/>
  <c r="K122" i="12"/>
  <c r="J122" i="12"/>
  <c r="H122" i="12"/>
  <c r="K121" i="12"/>
  <c r="J121" i="12"/>
  <c r="H121" i="12"/>
  <c r="O120" i="12"/>
  <c r="K120" i="12"/>
  <c r="L120" i="12" s="1"/>
  <c r="M120" i="12" s="1"/>
  <c r="S120" i="12" s="1"/>
  <c r="J120" i="12"/>
  <c r="H120" i="12"/>
  <c r="O119" i="12"/>
  <c r="L119" i="12"/>
  <c r="K119" i="12"/>
  <c r="J119" i="12"/>
  <c r="H119" i="12"/>
  <c r="K118" i="12"/>
  <c r="J118" i="12"/>
  <c r="H118" i="12"/>
  <c r="K117" i="12"/>
  <c r="J117" i="12"/>
  <c r="L117" i="12" s="1"/>
  <c r="H117" i="12"/>
  <c r="K116" i="12"/>
  <c r="J116" i="12"/>
  <c r="H116" i="12"/>
  <c r="K115" i="12"/>
  <c r="J115" i="12"/>
  <c r="H115" i="12"/>
  <c r="L115" i="12" s="1"/>
  <c r="K114" i="12"/>
  <c r="J114" i="12"/>
  <c r="H114" i="12"/>
  <c r="O113" i="12"/>
  <c r="K113" i="12"/>
  <c r="J113" i="12"/>
  <c r="H113" i="12"/>
  <c r="O112" i="12"/>
  <c r="K112" i="12"/>
  <c r="J112" i="12"/>
  <c r="H112" i="12"/>
  <c r="O111" i="12"/>
  <c r="K111" i="12"/>
  <c r="J111" i="12"/>
  <c r="H111" i="12"/>
  <c r="K110" i="12"/>
  <c r="J110" i="12"/>
  <c r="H110" i="12"/>
  <c r="K109" i="12"/>
  <c r="J109" i="12"/>
  <c r="H109" i="12"/>
  <c r="N107" i="12"/>
  <c r="F107" i="12"/>
  <c r="E107" i="12"/>
  <c r="K102" i="12"/>
  <c r="J102" i="12"/>
  <c r="H102" i="12"/>
  <c r="K101" i="12"/>
  <c r="J101" i="12"/>
  <c r="H101" i="12"/>
  <c r="K100" i="12"/>
  <c r="J100" i="12"/>
  <c r="H100" i="12"/>
  <c r="K99" i="12"/>
  <c r="J99" i="12"/>
  <c r="H99" i="12"/>
  <c r="K98" i="12"/>
  <c r="J98" i="12"/>
  <c r="H98" i="12"/>
  <c r="K97" i="12"/>
  <c r="J97" i="12"/>
  <c r="H97" i="12"/>
  <c r="K96" i="12"/>
  <c r="J96" i="12"/>
  <c r="H96" i="12"/>
  <c r="K95" i="12"/>
  <c r="J95" i="12"/>
  <c r="H95" i="12"/>
  <c r="K94" i="12"/>
  <c r="J94" i="12"/>
  <c r="H94" i="12"/>
  <c r="K93" i="12"/>
  <c r="J93" i="12"/>
  <c r="H93" i="12"/>
  <c r="K92" i="12"/>
  <c r="J92" i="12"/>
  <c r="H92" i="12"/>
  <c r="K91" i="12"/>
  <c r="J91" i="12"/>
  <c r="H91" i="12"/>
  <c r="K90" i="12"/>
  <c r="J90" i="12"/>
  <c r="H90" i="12"/>
  <c r="K89" i="12"/>
  <c r="J89" i="12"/>
  <c r="H89" i="12"/>
  <c r="K88" i="12"/>
  <c r="J88" i="12"/>
  <c r="H88" i="12"/>
  <c r="K87" i="12"/>
  <c r="J87" i="12"/>
  <c r="H87" i="12"/>
  <c r="K86" i="12"/>
  <c r="J86" i="12"/>
  <c r="H86" i="12"/>
  <c r="K85" i="12"/>
  <c r="J85" i="12"/>
  <c r="H85" i="12"/>
  <c r="K84" i="12"/>
  <c r="J84" i="12"/>
  <c r="H84" i="12"/>
  <c r="H107" i="12" s="1"/>
  <c r="F82" i="12"/>
  <c r="E82" i="12"/>
  <c r="K81" i="12"/>
  <c r="J81" i="12"/>
  <c r="L81" i="12" s="1"/>
  <c r="P81" i="12" s="1"/>
  <c r="K80" i="12"/>
  <c r="J80" i="12"/>
  <c r="N79" i="12"/>
  <c r="K79" i="12"/>
  <c r="J79" i="12"/>
  <c r="H79" i="12"/>
  <c r="N78" i="12"/>
  <c r="K78" i="12"/>
  <c r="J78" i="12"/>
  <c r="H78" i="12"/>
  <c r="N77" i="12"/>
  <c r="K77" i="12"/>
  <c r="L77" i="12" s="1"/>
  <c r="J77" i="12"/>
  <c r="H77" i="12"/>
  <c r="N76" i="12"/>
  <c r="K76" i="12"/>
  <c r="J76" i="12"/>
  <c r="H76" i="12"/>
  <c r="N75" i="12"/>
  <c r="K75" i="12"/>
  <c r="J75" i="12"/>
  <c r="H75" i="12"/>
  <c r="N74" i="12"/>
  <c r="K74" i="12"/>
  <c r="J74" i="12"/>
  <c r="H74" i="12"/>
  <c r="N73" i="12"/>
  <c r="K73" i="12"/>
  <c r="J73" i="12"/>
  <c r="H73" i="12"/>
  <c r="N72" i="12"/>
  <c r="K72" i="12"/>
  <c r="J72" i="12"/>
  <c r="H72" i="12"/>
  <c r="N71" i="12"/>
  <c r="K71" i="12"/>
  <c r="J71" i="12"/>
  <c r="H71" i="12"/>
  <c r="N70" i="12"/>
  <c r="K70" i="12"/>
  <c r="J70" i="12"/>
  <c r="H70" i="12"/>
  <c r="N69" i="12"/>
  <c r="K69" i="12"/>
  <c r="L69" i="12" s="1"/>
  <c r="J69" i="12"/>
  <c r="H69" i="12"/>
  <c r="N68" i="12"/>
  <c r="K68" i="12"/>
  <c r="J68" i="12"/>
  <c r="H68" i="12"/>
  <c r="N67" i="12"/>
  <c r="K67" i="12"/>
  <c r="J67" i="12"/>
  <c r="H67" i="12"/>
  <c r="N66" i="12"/>
  <c r="K66" i="12"/>
  <c r="J66" i="12"/>
  <c r="H66" i="12"/>
  <c r="N65" i="12"/>
  <c r="K65" i="12"/>
  <c r="L65" i="12" s="1"/>
  <c r="J65" i="12"/>
  <c r="H65" i="12"/>
  <c r="N64" i="12"/>
  <c r="K64" i="12"/>
  <c r="J64" i="12"/>
  <c r="H64" i="12"/>
  <c r="N63" i="12"/>
  <c r="K63" i="12"/>
  <c r="J63" i="12"/>
  <c r="H63" i="12"/>
  <c r="N62" i="12"/>
  <c r="K62" i="12"/>
  <c r="J62" i="12"/>
  <c r="H62" i="12"/>
  <c r="N61" i="12"/>
  <c r="K61" i="12"/>
  <c r="J61" i="12"/>
  <c r="H61" i="12"/>
  <c r="N60" i="12"/>
  <c r="K60" i="12"/>
  <c r="J60" i="12"/>
  <c r="H60" i="12"/>
  <c r="N59" i="12"/>
  <c r="K59" i="12"/>
  <c r="J59" i="12"/>
  <c r="H59" i="12"/>
  <c r="N58" i="12"/>
  <c r="K58" i="12"/>
  <c r="J58" i="12"/>
  <c r="H58" i="12"/>
  <c r="X57" i="12"/>
  <c r="N57" i="12"/>
  <c r="K57" i="12"/>
  <c r="J57" i="12"/>
  <c r="H57" i="12"/>
  <c r="N56" i="12"/>
  <c r="K56" i="12"/>
  <c r="J56" i="12"/>
  <c r="H56" i="12"/>
  <c r="L56" i="12" s="1"/>
  <c r="M56" i="12" s="1"/>
  <c r="N55" i="12"/>
  <c r="K55" i="12"/>
  <c r="J55" i="12"/>
  <c r="H55" i="12"/>
  <c r="N54" i="12"/>
  <c r="K54" i="12"/>
  <c r="J54" i="12"/>
  <c r="H54" i="12"/>
  <c r="N53" i="12"/>
  <c r="K53" i="12"/>
  <c r="J53" i="12"/>
  <c r="H53" i="12"/>
  <c r="N52" i="12"/>
  <c r="K52" i="12"/>
  <c r="J52" i="12"/>
  <c r="H52" i="12"/>
  <c r="Z51" i="12"/>
  <c r="K51" i="12"/>
  <c r="J51" i="12"/>
  <c r="H51" i="12"/>
  <c r="N50" i="12"/>
  <c r="K50" i="12"/>
  <c r="J50" i="12"/>
  <c r="H50" i="12"/>
  <c r="Z49" i="12"/>
  <c r="N49" i="12"/>
  <c r="K49" i="12"/>
  <c r="J49" i="12"/>
  <c r="H49" i="12"/>
  <c r="N48" i="12"/>
  <c r="K48" i="12"/>
  <c r="J48" i="12"/>
  <c r="H48" i="12"/>
  <c r="N47" i="12"/>
  <c r="K47" i="12"/>
  <c r="J47" i="12"/>
  <c r="H47" i="12"/>
  <c r="L47" i="12" s="1"/>
  <c r="M47" i="12" s="1"/>
  <c r="N46" i="12"/>
  <c r="K46" i="12"/>
  <c r="J46" i="12"/>
  <c r="H46" i="12"/>
  <c r="Z45" i="12"/>
  <c r="X45" i="12"/>
  <c r="N45" i="12"/>
  <c r="K45" i="12"/>
  <c r="J45" i="12"/>
  <c r="H45" i="12"/>
  <c r="N44" i="12"/>
  <c r="K44" i="12"/>
  <c r="J44" i="12"/>
  <c r="H44" i="12"/>
  <c r="Z43" i="12"/>
  <c r="N43" i="12"/>
  <c r="K43" i="12"/>
  <c r="J43" i="12"/>
  <c r="H43" i="12"/>
  <c r="Z42" i="12"/>
  <c r="N42" i="12"/>
  <c r="K42" i="12"/>
  <c r="J42" i="12"/>
  <c r="H42" i="12"/>
  <c r="N41" i="12"/>
  <c r="K41" i="12"/>
  <c r="J41" i="12"/>
  <c r="H41" i="12"/>
  <c r="N40" i="12"/>
  <c r="K40" i="12"/>
  <c r="J40" i="12"/>
  <c r="H40" i="12"/>
  <c r="N39" i="12"/>
  <c r="K39" i="12"/>
  <c r="J39" i="12"/>
  <c r="H39" i="12"/>
  <c r="N38" i="12"/>
  <c r="K38" i="12"/>
  <c r="J38" i="12"/>
  <c r="H38" i="12"/>
  <c r="N37" i="12"/>
  <c r="K37" i="12"/>
  <c r="J37" i="12"/>
  <c r="H37" i="12"/>
  <c r="N36" i="12"/>
  <c r="K36" i="12"/>
  <c r="J36" i="12"/>
  <c r="H36" i="12"/>
  <c r="N35" i="12"/>
  <c r="K35" i="12"/>
  <c r="L35" i="12" s="1"/>
  <c r="M35" i="12" s="1"/>
  <c r="O35" i="12" s="1"/>
  <c r="J35" i="12"/>
  <c r="H35" i="12"/>
  <c r="N34" i="12"/>
  <c r="K34" i="12"/>
  <c r="J34" i="12"/>
  <c r="H34" i="12"/>
  <c r="N33" i="12"/>
  <c r="K33" i="12"/>
  <c r="J33" i="12"/>
  <c r="H33" i="12"/>
  <c r="N32" i="12"/>
  <c r="K32" i="12"/>
  <c r="L32" i="12" s="1"/>
  <c r="J32" i="12"/>
  <c r="H32" i="12"/>
  <c r="N31" i="12"/>
  <c r="K31" i="12"/>
  <c r="J31" i="12"/>
  <c r="H31" i="12"/>
  <c r="N30" i="12"/>
  <c r="K30" i="12"/>
  <c r="L30" i="12" s="1"/>
  <c r="J30" i="12"/>
  <c r="H30" i="12"/>
  <c r="X29" i="12"/>
  <c r="N29" i="12"/>
  <c r="K29" i="12"/>
  <c r="J29" i="12"/>
  <c r="H29" i="12"/>
  <c r="L29" i="12" s="1"/>
  <c r="X28" i="12"/>
  <c r="K28" i="12"/>
  <c r="J28" i="12"/>
  <c r="H28" i="12"/>
  <c r="X27" i="12"/>
  <c r="N27" i="12"/>
  <c r="K27" i="12"/>
  <c r="J27" i="12"/>
  <c r="H27" i="12"/>
  <c r="L27" i="12" s="1"/>
  <c r="M27" i="12" s="1"/>
  <c r="N26" i="12"/>
  <c r="K26" i="12"/>
  <c r="J26" i="12"/>
  <c r="H26" i="12"/>
  <c r="N25" i="12"/>
  <c r="K25" i="12"/>
  <c r="J25" i="12"/>
  <c r="H25" i="12"/>
  <c r="L25" i="12" s="1"/>
  <c r="M25" i="12" s="1"/>
  <c r="N24" i="12"/>
  <c r="K24" i="12"/>
  <c r="J24" i="12"/>
  <c r="H24" i="12"/>
  <c r="N23" i="12"/>
  <c r="K23" i="12"/>
  <c r="J23" i="12"/>
  <c r="H23" i="12"/>
  <c r="N22" i="12"/>
  <c r="M22" i="12"/>
  <c r="K22" i="12"/>
  <c r="J22" i="12"/>
  <c r="H22" i="12"/>
  <c r="N21" i="12"/>
  <c r="K21" i="12"/>
  <c r="J21" i="12"/>
  <c r="H21" i="12"/>
  <c r="K20" i="12"/>
  <c r="J20" i="12"/>
  <c r="H20" i="12"/>
  <c r="N19" i="12"/>
  <c r="K19" i="12"/>
  <c r="J19" i="12"/>
  <c r="H19" i="12"/>
  <c r="N18" i="12"/>
  <c r="K18" i="12"/>
  <c r="J18" i="12"/>
  <c r="H18" i="12"/>
  <c r="N17" i="12"/>
  <c r="K17" i="12"/>
  <c r="J17" i="12"/>
  <c r="H17" i="12"/>
  <c r="N16" i="12"/>
  <c r="K16" i="12"/>
  <c r="J16" i="12"/>
  <c r="H16" i="12"/>
  <c r="N15" i="12"/>
  <c r="K15" i="12"/>
  <c r="J15" i="12"/>
  <c r="H15" i="12"/>
  <c r="X13" i="12"/>
  <c r="AU11" i="12"/>
  <c r="AR11" i="12"/>
  <c r="AO11" i="12"/>
  <c r="AI11" i="12"/>
  <c r="AZ6" i="12"/>
  <c r="AZ6" i="4"/>
  <c r="AH13" i="2"/>
  <c r="AH1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M175" i="2"/>
  <c r="L174" i="2"/>
  <c r="L173" i="2"/>
  <c r="L172" i="2"/>
  <c r="L171" i="2"/>
  <c r="L170" i="2"/>
  <c r="L169" i="2"/>
  <c r="L168" i="2"/>
  <c r="H140" i="2"/>
  <c r="H139" i="2"/>
  <c r="H138" i="2"/>
  <c r="H137" i="2"/>
  <c r="H136" i="2"/>
  <c r="H121" i="2"/>
  <c r="H120" i="2"/>
  <c r="H119" i="2"/>
  <c r="H118" i="2"/>
  <c r="H117" i="2"/>
  <c r="H102" i="2"/>
  <c r="H101" i="2"/>
  <c r="H100" i="2"/>
  <c r="H99" i="2"/>
  <c r="H98" i="2"/>
  <c r="H97" i="2"/>
  <c r="H82" i="2"/>
  <c r="H81" i="2"/>
  <c r="H80" i="2"/>
  <c r="H79" i="2"/>
  <c r="H64" i="2"/>
  <c r="H63" i="2"/>
  <c r="H62" i="2"/>
  <c r="H61" i="2"/>
  <c r="H45" i="2"/>
  <c r="H44" i="2"/>
  <c r="H43" i="2"/>
  <c r="H42" i="2"/>
  <c r="H41" i="2"/>
  <c r="H40" i="2"/>
  <c r="H24" i="2"/>
  <c r="H23" i="2"/>
  <c r="H22" i="2"/>
  <c r="H21" i="2"/>
  <c r="H20" i="2"/>
  <c r="J142" i="2"/>
  <c r="H142" i="2" s="1"/>
  <c r="J143" i="2"/>
  <c r="H143" i="2" s="1"/>
  <c r="J144" i="2"/>
  <c r="H144" i="2" s="1"/>
  <c r="J145" i="2"/>
  <c r="H145" i="2" s="1"/>
  <c r="J146" i="2"/>
  <c r="H146" i="2" s="1"/>
  <c r="J147" i="2"/>
  <c r="H147" i="2" s="1"/>
  <c r="J148" i="2"/>
  <c r="H148" i="2" s="1"/>
  <c r="J149" i="2"/>
  <c r="H149" i="2" s="1"/>
  <c r="J150" i="2"/>
  <c r="H150" i="2" s="1"/>
  <c r="J151" i="2"/>
  <c r="H151" i="2" s="1"/>
  <c r="J152" i="2"/>
  <c r="H152" i="2" s="1"/>
  <c r="J153" i="2"/>
  <c r="H153" i="2" s="1"/>
  <c r="J154" i="2"/>
  <c r="H154" i="2" s="1"/>
  <c r="J141" i="2"/>
  <c r="H141" i="2" s="1"/>
  <c r="J123" i="2"/>
  <c r="H123" i="2" s="1"/>
  <c r="J124" i="2"/>
  <c r="H124" i="2" s="1"/>
  <c r="J125" i="2"/>
  <c r="H125" i="2" s="1"/>
  <c r="J126" i="2"/>
  <c r="H126" i="2" s="1"/>
  <c r="J127" i="2"/>
  <c r="H127" i="2" s="1"/>
  <c r="J128" i="2"/>
  <c r="H128" i="2" s="1"/>
  <c r="J129" i="2"/>
  <c r="H129" i="2" s="1"/>
  <c r="J130" i="2"/>
  <c r="H130" i="2" s="1"/>
  <c r="J131" i="2"/>
  <c r="H131" i="2" s="1"/>
  <c r="J132" i="2"/>
  <c r="H132" i="2" s="1"/>
  <c r="J133" i="2"/>
  <c r="H133" i="2" s="1"/>
  <c r="J134" i="2"/>
  <c r="H134" i="2" s="1"/>
  <c r="J135" i="2"/>
  <c r="H135" i="2" s="1"/>
  <c r="J122" i="2"/>
  <c r="H122" i="2" s="1"/>
  <c r="J104" i="2"/>
  <c r="H104" i="2" s="1"/>
  <c r="J105" i="2"/>
  <c r="H105" i="2" s="1"/>
  <c r="J106" i="2"/>
  <c r="H106" i="2" s="1"/>
  <c r="J107" i="2"/>
  <c r="H107" i="2" s="1"/>
  <c r="J108" i="2"/>
  <c r="H108" i="2" s="1"/>
  <c r="J109" i="2"/>
  <c r="H109" i="2" s="1"/>
  <c r="J110" i="2"/>
  <c r="H110" i="2" s="1"/>
  <c r="J111" i="2"/>
  <c r="H111" i="2" s="1"/>
  <c r="J112" i="2"/>
  <c r="H112" i="2" s="1"/>
  <c r="J113" i="2"/>
  <c r="H113" i="2" s="1"/>
  <c r="J114" i="2"/>
  <c r="H114" i="2" s="1"/>
  <c r="J115" i="2"/>
  <c r="H115" i="2" s="1"/>
  <c r="J116" i="2"/>
  <c r="H116" i="2" s="1"/>
  <c r="J103" i="2"/>
  <c r="H103" i="2" s="1"/>
  <c r="J84" i="2"/>
  <c r="H84" i="2" s="1"/>
  <c r="J85" i="2"/>
  <c r="H85" i="2" s="1"/>
  <c r="J86" i="2"/>
  <c r="H86" i="2" s="1"/>
  <c r="J87" i="2"/>
  <c r="H87" i="2" s="1"/>
  <c r="J88" i="2"/>
  <c r="H88" i="2" s="1"/>
  <c r="J89" i="2"/>
  <c r="H89" i="2" s="1"/>
  <c r="J90" i="2"/>
  <c r="H90" i="2" s="1"/>
  <c r="J91" i="2"/>
  <c r="H91" i="2" s="1"/>
  <c r="J92" i="2"/>
  <c r="H92" i="2" s="1"/>
  <c r="J93" i="2"/>
  <c r="H93" i="2" s="1"/>
  <c r="J94" i="2"/>
  <c r="H94" i="2" s="1"/>
  <c r="J95" i="2"/>
  <c r="H95" i="2" s="1"/>
  <c r="J96" i="2"/>
  <c r="H96" i="2" s="1"/>
  <c r="J83" i="2"/>
  <c r="H83" i="2" s="1"/>
  <c r="J66" i="2"/>
  <c r="H66" i="2" s="1"/>
  <c r="J67" i="2"/>
  <c r="H67" i="2" s="1"/>
  <c r="J68" i="2"/>
  <c r="H68" i="2" s="1"/>
  <c r="J69" i="2"/>
  <c r="H69" i="2" s="1"/>
  <c r="J70" i="2"/>
  <c r="H70" i="2" s="1"/>
  <c r="J71" i="2"/>
  <c r="H71" i="2" s="1"/>
  <c r="J72" i="2"/>
  <c r="H72" i="2" s="1"/>
  <c r="J73" i="2"/>
  <c r="H73" i="2" s="1"/>
  <c r="J74" i="2"/>
  <c r="H74" i="2" s="1"/>
  <c r="J75" i="2"/>
  <c r="H75" i="2" s="1"/>
  <c r="J76" i="2"/>
  <c r="H76" i="2" s="1"/>
  <c r="J77" i="2"/>
  <c r="H77" i="2" s="1"/>
  <c r="J78" i="2"/>
  <c r="H78" i="2" s="1"/>
  <c r="J65" i="2"/>
  <c r="H65" i="2" s="1"/>
  <c r="J47" i="2"/>
  <c r="H47" i="2" s="1"/>
  <c r="J48" i="2"/>
  <c r="H48" i="2" s="1"/>
  <c r="J49" i="2"/>
  <c r="H49" i="2" s="1"/>
  <c r="J50" i="2"/>
  <c r="H50" i="2" s="1"/>
  <c r="J51" i="2"/>
  <c r="H51" i="2" s="1"/>
  <c r="J52" i="2"/>
  <c r="H52" i="2" s="1"/>
  <c r="J53" i="2"/>
  <c r="H53" i="2" s="1"/>
  <c r="J54" i="2"/>
  <c r="H54" i="2" s="1"/>
  <c r="J55" i="2"/>
  <c r="H55" i="2" s="1"/>
  <c r="J56" i="2"/>
  <c r="H56" i="2" s="1"/>
  <c r="J57" i="2"/>
  <c r="H57" i="2" s="1"/>
  <c r="J58" i="2"/>
  <c r="H58" i="2" s="1"/>
  <c r="J59" i="2"/>
  <c r="H59" i="2" s="1"/>
  <c r="J60" i="2"/>
  <c r="H60" i="2" s="1"/>
  <c r="J46" i="2"/>
  <c r="H46" i="2" s="1"/>
  <c r="J26" i="2"/>
  <c r="H26" i="2" s="1"/>
  <c r="J27" i="2"/>
  <c r="H27" i="2" s="1"/>
  <c r="J28" i="2"/>
  <c r="H28" i="2" s="1"/>
  <c r="J29" i="2"/>
  <c r="H29" i="2" s="1"/>
  <c r="J30" i="2"/>
  <c r="H30" i="2" s="1"/>
  <c r="J31" i="2"/>
  <c r="H31" i="2" s="1"/>
  <c r="J32" i="2"/>
  <c r="H32" i="2" s="1"/>
  <c r="J33" i="2"/>
  <c r="H33" i="2" s="1"/>
  <c r="J34" i="2"/>
  <c r="H34" i="2" s="1"/>
  <c r="J35" i="2"/>
  <c r="H35" i="2" s="1"/>
  <c r="J36" i="2"/>
  <c r="H36" i="2" s="1"/>
  <c r="J37" i="2"/>
  <c r="H37" i="2" s="1"/>
  <c r="J38" i="2"/>
  <c r="H38" i="2" s="1"/>
  <c r="J39" i="2"/>
  <c r="H39" i="2" s="1"/>
  <c r="J25" i="2"/>
  <c r="H25" i="2" s="1"/>
  <c r="J7" i="2"/>
  <c r="H7" i="2" s="1"/>
  <c r="J8" i="2"/>
  <c r="H8" i="2" s="1"/>
  <c r="J9" i="2"/>
  <c r="H9" i="2" s="1"/>
  <c r="J10" i="2"/>
  <c r="H10" i="2" s="1"/>
  <c r="J11" i="2"/>
  <c r="H11" i="2" s="1"/>
  <c r="J12" i="2"/>
  <c r="H12" i="2" s="1"/>
  <c r="J13" i="2"/>
  <c r="H13" i="2" s="1"/>
  <c r="J14" i="2"/>
  <c r="H14" i="2" s="1"/>
  <c r="J15" i="2"/>
  <c r="H15" i="2" s="1"/>
  <c r="J16" i="2"/>
  <c r="H16" i="2" s="1"/>
  <c r="J17" i="2"/>
  <c r="H17" i="2" s="1"/>
  <c r="J18" i="2"/>
  <c r="H18" i="2" s="1"/>
  <c r="J19" i="2"/>
  <c r="H19" i="2" s="1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M155" i="2"/>
  <c r="M20" i="2"/>
  <c r="M61" i="2"/>
  <c r="M79" i="2"/>
  <c r="M97" i="2"/>
  <c r="M117" i="2"/>
  <c r="M136" i="2"/>
  <c r="S167" i="4" l="1"/>
  <c r="O167" i="4"/>
  <c r="M180" i="4"/>
  <c r="O180" i="4" s="1"/>
  <c r="Y22" i="4" s="1"/>
  <c r="M74" i="4"/>
  <c r="O74" i="4" s="1"/>
  <c r="L41" i="12"/>
  <c r="M41" i="12" s="1"/>
  <c r="O41" i="12" s="1"/>
  <c r="L42" i="12"/>
  <c r="M42" i="12" s="1"/>
  <c r="O42" i="12" s="1"/>
  <c r="L51" i="12"/>
  <c r="M51" i="12" s="1"/>
  <c r="O51" i="12" s="1"/>
  <c r="L60" i="12"/>
  <c r="M60" i="12" s="1"/>
  <c r="L62" i="12"/>
  <c r="L80" i="12"/>
  <c r="P80" i="12" s="1"/>
  <c r="L85" i="12"/>
  <c r="L111" i="12"/>
  <c r="L125" i="12"/>
  <c r="Q15" i="4"/>
  <c r="L36" i="12"/>
  <c r="L37" i="12"/>
  <c r="L38" i="12"/>
  <c r="L39" i="12"/>
  <c r="Z44" i="12"/>
  <c r="J155" i="12"/>
  <c r="P66" i="4"/>
  <c r="Q66" i="4" s="1"/>
  <c r="L16" i="12"/>
  <c r="L17" i="12"/>
  <c r="L44" i="12"/>
  <c r="L45" i="12"/>
  <c r="M45" i="12" s="1"/>
  <c r="L52" i="12"/>
  <c r="M52" i="12" s="1"/>
  <c r="L54" i="12"/>
  <c r="L64" i="12"/>
  <c r="L68" i="12"/>
  <c r="L72" i="12"/>
  <c r="M72" i="12" s="1"/>
  <c r="O72" i="12" s="1"/>
  <c r="L75" i="12"/>
  <c r="P75" i="12" s="1"/>
  <c r="Q75" i="12" s="1"/>
  <c r="L76" i="12"/>
  <c r="M76" i="12" s="1"/>
  <c r="L87" i="12"/>
  <c r="M87" i="12" s="1"/>
  <c r="O87" i="12" s="1"/>
  <c r="X17" i="12" s="1"/>
  <c r="L88" i="12"/>
  <c r="L114" i="12"/>
  <c r="P114" i="12" s="1"/>
  <c r="Q114" i="12" s="1"/>
  <c r="L127" i="12"/>
  <c r="L136" i="12"/>
  <c r="O60" i="12"/>
  <c r="O56" i="12"/>
  <c r="O27" i="12"/>
  <c r="O47" i="12"/>
  <c r="O25" i="12"/>
  <c r="O45" i="12"/>
  <c r="O52" i="12"/>
  <c r="O76" i="12"/>
  <c r="P200" i="4"/>
  <c r="Q200" i="4" s="1"/>
  <c r="P178" i="4"/>
  <c r="Q178" i="4" s="1"/>
  <c r="L205" i="4"/>
  <c r="C18" i="13" s="1"/>
  <c r="E18" i="13" s="1"/>
  <c r="H18" i="13" s="1"/>
  <c r="J18" i="13" s="1"/>
  <c r="M73" i="4"/>
  <c r="O73" i="4" s="1"/>
  <c r="P79" i="4"/>
  <c r="Q79" i="4" s="1"/>
  <c r="P65" i="4"/>
  <c r="Q65" i="4" s="1"/>
  <c r="M61" i="4"/>
  <c r="O61" i="4" s="1"/>
  <c r="M69" i="4"/>
  <c r="O69" i="4" s="1"/>
  <c r="P193" i="4"/>
  <c r="Q193" i="4" s="1"/>
  <c r="P181" i="4"/>
  <c r="Q181" i="4" s="1"/>
  <c r="M190" i="4"/>
  <c r="S169" i="4"/>
  <c r="O169" i="4"/>
  <c r="X48" i="4"/>
  <c r="AA48" i="4" s="1"/>
  <c r="P194" i="4"/>
  <c r="Q194" i="4" s="1"/>
  <c r="P185" i="4"/>
  <c r="Q185" i="4" s="1"/>
  <c r="P184" i="4"/>
  <c r="Q184" i="4" s="1"/>
  <c r="X45" i="4"/>
  <c r="AA45" i="4" s="1"/>
  <c r="X47" i="4"/>
  <c r="AA47" i="4" s="1"/>
  <c r="P182" i="4"/>
  <c r="Q182" i="4" s="1"/>
  <c r="P197" i="4"/>
  <c r="Q197" i="4" s="1"/>
  <c r="X49" i="4"/>
  <c r="AA49" i="4" s="1"/>
  <c r="P186" i="4"/>
  <c r="Q186" i="4" s="1"/>
  <c r="P198" i="4"/>
  <c r="Q198" i="4" s="1"/>
  <c r="P64" i="4"/>
  <c r="Q64" i="4" s="1"/>
  <c r="M76" i="4"/>
  <c r="O76" i="4" s="1"/>
  <c r="M64" i="12"/>
  <c r="O64" i="12" s="1"/>
  <c r="P64" i="12"/>
  <c r="Q64" i="12" s="1"/>
  <c r="M68" i="12"/>
  <c r="O68" i="12" s="1"/>
  <c r="P68" i="12"/>
  <c r="Q68" i="12" s="1"/>
  <c r="L18" i="12"/>
  <c r="L19" i="12"/>
  <c r="L20" i="12"/>
  <c r="L21" i="12"/>
  <c r="P22" i="12"/>
  <c r="Q22" i="12" s="1"/>
  <c r="L28" i="12"/>
  <c r="L31" i="12"/>
  <c r="L33" i="12"/>
  <c r="L34" i="12"/>
  <c r="L40" i="12"/>
  <c r="L53" i="12"/>
  <c r="L58" i="12"/>
  <c r="L61" i="12"/>
  <c r="L71" i="12"/>
  <c r="L74" i="12"/>
  <c r="L79" i="12"/>
  <c r="L86" i="12"/>
  <c r="L112" i="12"/>
  <c r="L113" i="12"/>
  <c r="L122" i="12"/>
  <c r="P122" i="12" s="1"/>
  <c r="Q122" i="12" s="1"/>
  <c r="L128" i="12"/>
  <c r="L129" i="12"/>
  <c r="K155" i="12"/>
  <c r="S163" i="4"/>
  <c r="Z79" i="4"/>
  <c r="Z76" i="4"/>
  <c r="S159" i="4"/>
  <c r="Z83" i="4"/>
  <c r="K82" i="12"/>
  <c r="L57" i="12"/>
  <c r="L59" i="12"/>
  <c r="P59" i="12" s="1"/>
  <c r="Q59" i="12" s="1"/>
  <c r="L67" i="12"/>
  <c r="L70" i="12"/>
  <c r="L73" i="12"/>
  <c r="L78" i="12"/>
  <c r="M81" i="12"/>
  <c r="O81" i="12" s="1"/>
  <c r="L110" i="12"/>
  <c r="L116" i="12"/>
  <c r="M116" i="12" s="1"/>
  <c r="L118" i="12"/>
  <c r="P118" i="12" s="1"/>
  <c r="Q118" i="12" s="1"/>
  <c r="P124" i="12"/>
  <c r="Q124" i="12" s="1"/>
  <c r="L126" i="12"/>
  <c r="P126" i="12" s="1"/>
  <c r="Q126" i="12" s="1"/>
  <c r="L134" i="12"/>
  <c r="P134" i="12" s="1"/>
  <c r="Q134" i="12" s="1"/>
  <c r="L135" i="12"/>
  <c r="S148" i="4"/>
  <c r="O148" i="4"/>
  <c r="O22" i="12"/>
  <c r="L26" i="12"/>
  <c r="L43" i="12"/>
  <c r="L46" i="12"/>
  <c r="L50" i="12"/>
  <c r="L55" i="12"/>
  <c r="P55" i="12" s="1"/>
  <c r="Q55" i="12" s="1"/>
  <c r="L63" i="12"/>
  <c r="L66" i="12"/>
  <c r="L92" i="12"/>
  <c r="M92" i="12" s="1"/>
  <c r="O92" i="12" s="1"/>
  <c r="L96" i="12"/>
  <c r="M96" i="12" s="1"/>
  <c r="O96" i="12" s="1"/>
  <c r="L100" i="12"/>
  <c r="M100" i="12" s="1"/>
  <c r="O100" i="12" s="1"/>
  <c r="L109" i="12"/>
  <c r="M109" i="12" s="1"/>
  <c r="M114" i="12"/>
  <c r="O114" i="12" s="1"/>
  <c r="L121" i="12"/>
  <c r="M130" i="12"/>
  <c r="S130" i="12" s="1"/>
  <c r="L133" i="12"/>
  <c r="S165" i="4"/>
  <c r="O165" i="4"/>
  <c r="S151" i="4"/>
  <c r="O151" i="4"/>
  <c r="S155" i="4"/>
  <c r="Z77" i="4"/>
  <c r="O153" i="4"/>
  <c r="S153" i="4"/>
  <c r="S154" i="4"/>
  <c r="O154" i="4"/>
  <c r="S150" i="4"/>
  <c r="O150" i="4"/>
  <c r="S160" i="4"/>
  <c r="O160" i="4"/>
  <c r="P196" i="4"/>
  <c r="Q196" i="4" s="1"/>
  <c r="M189" i="4"/>
  <c r="P63" i="4"/>
  <c r="Q63" i="4" s="1"/>
  <c r="M77" i="4"/>
  <c r="O77" i="4" s="1"/>
  <c r="P71" i="4"/>
  <c r="Q71" i="4" s="1"/>
  <c r="W18" i="4"/>
  <c r="M80" i="4"/>
  <c r="O80" i="4" s="1"/>
  <c r="P68" i="4"/>
  <c r="Q68" i="4" s="1"/>
  <c r="M68" i="4"/>
  <c r="O68" i="4" s="1"/>
  <c r="P130" i="4"/>
  <c r="Q130" i="4" s="1"/>
  <c r="M130" i="4"/>
  <c r="O130" i="4" s="1"/>
  <c r="P126" i="4"/>
  <c r="Q126" i="4" s="1"/>
  <c r="P72" i="4"/>
  <c r="Q72" i="4" s="1"/>
  <c r="X50" i="4"/>
  <c r="AA50" i="4" s="1"/>
  <c r="X46" i="4"/>
  <c r="AA46" i="4" s="1"/>
  <c r="M67" i="4"/>
  <c r="O67" i="4" s="1"/>
  <c r="M188" i="4"/>
  <c r="P188" i="4"/>
  <c r="Q188" i="4" s="1"/>
  <c r="P75" i="4"/>
  <c r="Q75" i="4" s="1"/>
  <c r="M75" i="4"/>
  <c r="O75" i="4" s="1"/>
  <c r="X44" i="4"/>
  <c r="AA44" i="4" s="1"/>
  <c r="M192" i="4"/>
  <c r="P192" i="4"/>
  <c r="Q192" i="4" s="1"/>
  <c r="S146" i="4"/>
  <c r="O146" i="4"/>
  <c r="L176" i="4"/>
  <c r="E19" i="13" s="1"/>
  <c r="H19" i="13" s="1"/>
  <c r="J19" i="13" s="1"/>
  <c r="M138" i="4"/>
  <c r="Z75" i="4" s="1"/>
  <c r="P138" i="4"/>
  <c r="M62" i="4"/>
  <c r="O62" i="4" s="1"/>
  <c r="P62" i="4"/>
  <c r="Q62" i="4" s="1"/>
  <c r="M78" i="4"/>
  <c r="O78" i="4" s="1"/>
  <c r="P78" i="4"/>
  <c r="Q78" i="4" s="1"/>
  <c r="P129" i="4"/>
  <c r="Q129" i="4" s="1"/>
  <c r="M129" i="4"/>
  <c r="O129" i="4" s="1"/>
  <c r="M70" i="4"/>
  <c r="O70" i="4" s="1"/>
  <c r="P70" i="4"/>
  <c r="Q70" i="4" s="1"/>
  <c r="L136" i="4"/>
  <c r="C16" i="13" s="1"/>
  <c r="M84" i="4"/>
  <c r="P84" i="4"/>
  <c r="L82" i="4"/>
  <c r="C17" i="13" s="1"/>
  <c r="E17" i="13" s="1"/>
  <c r="H17" i="13" s="1"/>
  <c r="J17" i="13" s="1"/>
  <c r="AO38" i="4"/>
  <c r="AC38" i="4"/>
  <c r="AX38" i="4"/>
  <c r="AR38" i="4"/>
  <c r="AR37" i="4" s="1"/>
  <c r="AI38" i="4"/>
  <c r="AI37" i="4" s="1"/>
  <c r="AU38" i="4"/>
  <c r="AU37" i="4" s="1"/>
  <c r="AF38" i="4"/>
  <c r="AL38" i="4"/>
  <c r="AO37" i="4"/>
  <c r="W59" i="4"/>
  <c r="AA41" i="4"/>
  <c r="AO10" i="12"/>
  <c r="AO9" i="12" s="1"/>
  <c r="AF10" i="12"/>
  <c r="AR10" i="12"/>
  <c r="AR9" i="12" s="1"/>
  <c r="AI10" i="12"/>
  <c r="AI9" i="12" s="1"/>
  <c r="AU10" i="12"/>
  <c r="AU9" i="12" s="1"/>
  <c r="AL10" i="12"/>
  <c r="AX10" i="12"/>
  <c r="AC10" i="12"/>
  <c r="P16" i="12"/>
  <c r="Q16" i="12" s="1"/>
  <c r="M16" i="12"/>
  <c r="O16" i="12" s="1"/>
  <c r="AA13" i="12"/>
  <c r="H82" i="12"/>
  <c r="L15" i="12"/>
  <c r="P18" i="12"/>
  <c r="Q18" i="12" s="1"/>
  <c r="M18" i="12"/>
  <c r="O18" i="12" s="1"/>
  <c r="P20" i="12"/>
  <c r="Q20" i="12" s="1"/>
  <c r="M20" i="12"/>
  <c r="O20" i="12" s="1"/>
  <c r="M17" i="12"/>
  <c r="O17" i="12" s="1"/>
  <c r="P17" i="12"/>
  <c r="Q17" i="12" s="1"/>
  <c r="M19" i="12"/>
  <c r="O19" i="12" s="1"/>
  <c r="P19" i="12"/>
  <c r="Q19" i="12" s="1"/>
  <c r="M21" i="12"/>
  <c r="O21" i="12" s="1"/>
  <c r="P21" i="12"/>
  <c r="Q21" i="12" s="1"/>
  <c r="L23" i="12"/>
  <c r="P29" i="12"/>
  <c r="Q29" i="12" s="1"/>
  <c r="M29" i="12"/>
  <c r="O29" i="12" s="1"/>
  <c r="M36" i="12"/>
  <c r="O36" i="12" s="1"/>
  <c r="P36" i="12"/>
  <c r="Q36" i="12" s="1"/>
  <c r="M37" i="12"/>
  <c r="O37" i="12" s="1"/>
  <c r="P37" i="12"/>
  <c r="Q37" i="12" s="1"/>
  <c r="M38" i="12"/>
  <c r="O38" i="12" s="1"/>
  <c r="P38" i="12"/>
  <c r="Q38" i="12" s="1"/>
  <c r="M39" i="12"/>
  <c r="O39" i="12" s="1"/>
  <c r="P39" i="12"/>
  <c r="Q39" i="12" s="1"/>
  <c r="M44" i="12"/>
  <c r="O44" i="12" s="1"/>
  <c r="P44" i="12"/>
  <c r="Q44" i="12" s="1"/>
  <c r="M30" i="12"/>
  <c r="O30" i="12" s="1"/>
  <c r="P30" i="12"/>
  <c r="Q30" i="12" s="1"/>
  <c r="P31" i="12"/>
  <c r="Q31" i="12" s="1"/>
  <c r="M31" i="12"/>
  <c r="O31" i="12" s="1"/>
  <c r="M33" i="12"/>
  <c r="O33" i="12" s="1"/>
  <c r="P33" i="12"/>
  <c r="Q33" i="12" s="1"/>
  <c r="P34" i="12"/>
  <c r="Q34" i="12" s="1"/>
  <c r="M34" i="12"/>
  <c r="O34" i="12" s="1"/>
  <c r="M40" i="12"/>
  <c r="O40" i="12" s="1"/>
  <c r="P40" i="12"/>
  <c r="Q40" i="12" s="1"/>
  <c r="L24" i="12"/>
  <c r="M26" i="12"/>
  <c r="O26" i="12" s="1"/>
  <c r="AA17" i="12" s="1"/>
  <c r="P26" i="12"/>
  <c r="Q26" i="12" s="1"/>
  <c r="J82" i="12"/>
  <c r="AA28" i="12"/>
  <c r="AA27" i="12"/>
  <c r="AA29" i="12"/>
  <c r="M28" i="12"/>
  <c r="O28" i="12" s="1"/>
  <c r="P28" i="12"/>
  <c r="Q28" i="12" s="1"/>
  <c r="M32" i="12"/>
  <c r="O32" i="12" s="1"/>
  <c r="P32" i="12"/>
  <c r="Q32" i="12" s="1"/>
  <c r="M43" i="12"/>
  <c r="O43" i="12" s="1"/>
  <c r="P43" i="12"/>
  <c r="Q43" i="12" s="1"/>
  <c r="P25" i="12"/>
  <c r="Q25" i="12" s="1"/>
  <c r="P27" i="12"/>
  <c r="Q27" i="12" s="1"/>
  <c r="P35" i="12"/>
  <c r="Q35" i="12" s="1"/>
  <c r="M69" i="12"/>
  <c r="O69" i="12" s="1"/>
  <c r="P69" i="12"/>
  <c r="Q69" i="12" s="1"/>
  <c r="P70" i="12"/>
  <c r="Q70" i="12" s="1"/>
  <c r="M70" i="12"/>
  <c r="O70" i="12" s="1"/>
  <c r="M53" i="12"/>
  <c r="O53" i="12" s="1"/>
  <c r="P53" i="12"/>
  <c r="Q53" i="12" s="1"/>
  <c r="P54" i="12"/>
  <c r="Q54" i="12" s="1"/>
  <c r="M54" i="12"/>
  <c r="O54" i="12" s="1"/>
  <c r="M73" i="12"/>
  <c r="O73" i="12" s="1"/>
  <c r="P73" i="12"/>
  <c r="Q73" i="12" s="1"/>
  <c r="P74" i="12"/>
  <c r="Q74" i="12" s="1"/>
  <c r="M74" i="12"/>
  <c r="O74" i="12" s="1"/>
  <c r="M80" i="12"/>
  <c r="O80" i="12" s="1"/>
  <c r="M86" i="12"/>
  <c r="O86" i="12" s="1"/>
  <c r="X16" i="12" s="1"/>
  <c r="AA16" i="12" s="1"/>
  <c r="P86" i="12"/>
  <c r="Q86" i="12" s="1"/>
  <c r="P45" i="12"/>
  <c r="Q45" i="12" s="1"/>
  <c r="P47" i="12"/>
  <c r="Q47" i="12" s="1"/>
  <c r="M50" i="12"/>
  <c r="O50" i="12" s="1"/>
  <c r="P50" i="12"/>
  <c r="Q50" i="12" s="1"/>
  <c r="P51" i="12"/>
  <c r="Q51" i="12" s="1"/>
  <c r="P52" i="12"/>
  <c r="Q52" i="12" s="1"/>
  <c r="M57" i="12"/>
  <c r="O57" i="12" s="1"/>
  <c r="P57" i="12"/>
  <c r="Q57" i="12" s="1"/>
  <c r="M61" i="12"/>
  <c r="O61" i="12" s="1"/>
  <c r="P61" i="12"/>
  <c r="Q61" i="12" s="1"/>
  <c r="P62" i="12"/>
  <c r="Q62" i="12" s="1"/>
  <c r="M62" i="12"/>
  <c r="O62" i="12" s="1"/>
  <c r="P72" i="12"/>
  <c r="Q72" i="12" s="1"/>
  <c r="M77" i="12"/>
  <c r="O77" i="12" s="1"/>
  <c r="P77" i="12"/>
  <c r="Q77" i="12" s="1"/>
  <c r="P78" i="12"/>
  <c r="Q78" i="12" s="1"/>
  <c r="M78" i="12"/>
  <c r="O78" i="12" s="1"/>
  <c r="K107" i="12"/>
  <c r="L84" i="12"/>
  <c r="M88" i="12"/>
  <c r="O88" i="12" s="1"/>
  <c r="P88" i="12"/>
  <c r="Q88" i="12" s="1"/>
  <c r="P41" i="12"/>
  <c r="Q41" i="12" s="1"/>
  <c r="P42" i="12"/>
  <c r="Q42" i="12" s="1"/>
  <c r="L48" i="12"/>
  <c r="L49" i="12"/>
  <c r="M55" i="12"/>
  <c r="O55" i="12" s="1"/>
  <c r="P56" i="12"/>
  <c r="Q56" i="12" s="1"/>
  <c r="M59" i="12"/>
  <c r="O59" i="12" s="1"/>
  <c r="P60" i="12"/>
  <c r="Q60" i="12" s="1"/>
  <c r="M65" i="12"/>
  <c r="O65" i="12" s="1"/>
  <c r="P65" i="12"/>
  <c r="Q65" i="12" s="1"/>
  <c r="P66" i="12"/>
  <c r="Q66" i="12" s="1"/>
  <c r="M66" i="12"/>
  <c r="O66" i="12" s="1"/>
  <c r="M75" i="12"/>
  <c r="O75" i="12" s="1"/>
  <c r="P76" i="12"/>
  <c r="Q76" i="12" s="1"/>
  <c r="M85" i="12"/>
  <c r="O85" i="12" s="1"/>
  <c r="X15" i="12" s="1"/>
  <c r="P85" i="12"/>
  <c r="Q85" i="12" s="1"/>
  <c r="P87" i="12"/>
  <c r="Q87" i="12" s="1"/>
  <c r="O109" i="12"/>
  <c r="J107" i="12"/>
  <c r="L90" i="12"/>
  <c r="L94" i="12"/>
  <c r="L98" i="12"/>
  <c r="L102" i="12"/>
  <c r="K140" i="12"/>
  <c r="M113" i="12"/>
  <c r="S113" i="12" s="1"/>
  <c r="P113" i="12"/>
  <c r="Q113" i="12" s="1"/>
  <c r="P116" i="12"/>
  <c r="Q116" i="12" s="1"/>
  <c r="M118" i="12"/>
  <c r="P120" i="12"/>
  <c r="Q120" i="12" s="1"/>
  <c r="M122" i="12"/>
  <c r="M129" i="12"/>
  <c r="S129" i="12" s="1"/>
  <c r="P129" i="12"/>
  <c r="Q129" i="12" s="1"/>
  <c r="P131" i="12"/>
  <c r="Q131" i="12" s="1"/>
  <c r="M131" i="12"/>
  <c r="S131" i="12" s="1"/>
  <c r="L91" i="12"/>
  <c r="P92" i="12"/>
  <c r="Q92" i="12" s="1"/>
  <c r="L95" i="12"/>
  <c r="P96" i="12"/>
  <c r="Q96" i="12" s="1"/>
  <c r="L99" i="12"/>
  <c r="P100" i="12"/>
  <c r="Q100" i="12" s="1"/>
  <c r="P119" i="12"/>
  <c r="Q119" i="12" s="1"/>
  <c r="M119" i="12"/>
  <c r="S119" i="12" s="1"/>
  <c r="M126" i="12"/>
  <c r="M133" i="12"/>
  <c r="P133" i="12"/>
  <c r="Q133" i="12" s="1"/>
  <c r="L142" i="12"/>
  <c r="L143" i="12"/>
  <c r="L144" i="12"/>
  <c r="L145" i="12"/>
  <c r="L146" i="12"/>
  <c r="L147" i="12"/>
  <c r="L148" i="12"/>
  <c r="L149" i="12"/>
  <c r="L150" i="12"/>
  <c r="L140" i="12"/>
  <c r="P109" i="12"/>
  <c r="M117" i="12"/>
  <c r="P117" i="12"/>
  <c r="Q117" i="12" s="1"/>
  <c r="M121" i="12"/>
  <c r="P121" i="12"/>
  <c r="Q121" i="12" s="1"/>
  <c r="P123" i="12"/>
  <c r="Q123" i="12" s="1"/>
  <c r="M123" i="12"/>
  <c r="S123" i="12" s="1"/>
  <c r="P136" i="12"/>
  <c r="Q136" i="12" s="1"/>
  <c r="M136" i="12"/>
  <c r="S136" i="12" s="1"/>
  <c r="L89" i="12"/>
  <c r="L93" i="12"/>
  <c r="L97" i="12"/>
  <c r="L101" i="12"/>
  <c r="J140" i="12"/>
  <c r="P111" i="12"/>
  <c r="Q111" i="12" s="1"/>
  <c r="M111" i="12"/>
  <c r="S114" i="12"/>
  <c r="P115" i="12"/>
  <c r="Q115" i="12" s="1"/>
  <c r="M115" i="12"/>
  <c r="O116" i="12"/>
  <c r="S116" i="12"/>
  <c r="M125" i="12"/>
  <c r="P125" i="12"/>
  <c r="Q125" i="12" s="1"/>
  <c r="P127" i="12"/>
  <c r="Q127" i="12" s="1"/>
  <c r="M127" i="12"/>
  <c r="S127" i="12" s="1"/>
  <c r="P132" i="12"/>
  <c r="Q132" i="12" s="1"/>
  <c r="M134" i="12"/>
  <c r="H140" i="12"/>
  <c r="H155" i="12"/>
  <c r="AX10" i="4"/>
  <c r="AL10" i="4"/>
  <c r="AU10" i="4"/>
  <c r="AI10" i="4"/>
  <c r="AR10" i="4"/>
  <c r="AF10" i="4"/>
  <c r="AO10" i="4"/>
  <c r="AC10" i="4"/>
  <c r="O205" i="4" l="1"/>
  <c r="M205" i="4"/>
  <c r="Q84" i="4"/>
  <c r="P136" i="4"/>
  <c r="P82" i="4"/>
  <c r="M82" i="4"/>
  <c r="M176" i="4"/>
  <c r="O138" i="4"/>
  <c r="Z26" i="4" s="1"/>
  <c r="P63" i="12"/>
  <c r="Q63" i="12" s="1"/>
  <c r="M63" i="12"/>
  <c r="O63" i="12" s="1"/>
  <c r="P67" i="12"/>
  <c r="Q67" i="12" s="1"/>
  <c r="M67" i="12"/>
  <c r="O67" i="12" s="1"/>
  <c r="P79" i="12"/>
  <c r="Q79" i="12" s="1"/>
  <c r="M79" i="12"/>
  <c r="O79" i="12" s="1"/>
  <c r="P58" i="12"/>
  <c r="Q58" i="12" s="1"/>
  <c r="M58" i="12"/>
  <c r="O58" i="12" s="1"/>
  <c r="P135" i="12"/>
  <c r="Q135" i="12" s="1"/>
  <c r="M135" i="12"/>
  <c r="M112" i="12"/>
  <c r="S112" i="12" s="1"/>
  <c r="P112" i="12"/>
  <c r="Q112" i="12" s="1"/>
  <c r="P71" i="12"/>
  <c r="Q71" i="12" s="1"/>
  <c r="M71" i="12"/>
  <c r="O71" i="12" s="1"/>
  <c r="P46" i="12"/>
  <c r="Q46" i="12" s="1"/>
  <c r="M46" i="12"/>
  <c r="O46" i="12" s="1"/>
  <c r="P110" i="12"/>
  <c r="Q110" i="12" s="1"/>
  <c r="M110" i="12"/>
  <c r="M128" i="12"/>
  <c r="S128" i="12" s="1"/>
  <c r="P128" i="12"/>
  <c r="Q128" i="12" s="1"/>
  <c r="P205" i="4"/>
  <c r="Q138" i="4"/>
  <c r="P176" i="4"/>
  <c r="M136" i="4"/>
  <c r="O84" i="4"/>
  <c r="X42" i="4" s="1"/>
  <c r="AA42" i="4" s="1"/>
  <c r="O82" i="4"/>
  <c r="AC39" i="4"/>
  <c r="AC37" i="4" s="1"/>
  <c r="AC35" i="4" s="1"/>
  <c r="AA15" i="12"/>
  <c r="M101" i="12"/>
  <c r="O101" i="12" s="1"/>
  <c r="X26" i="12" s="1"/>
  <c r="P101" i="12"/>
  <c r="Q101" i="12" s="1"/>
  <c r="O115" i="12"/>
  <c r="S115" i="12"/>
  <c r="Z36" i="12"/>
  <c r="M97" i="12"/>
  <c r="O97" i="12" s="1"/>
  <c r="P97" i="12"/>
  <c r="Q97" i="12" s="1"/>
  <c r="S121" i="12"/>
  <c r="O121" i="12"/>
  <c r="M143" i="12"/>
  <c r="P143" i="12"/>
  <c r="Q143" i="12" s="1"/>
  <c r="M91" i="12"/>
  <c r="O91" i="12" s="1"/>
  <c r="X20" i="12" s="1"/>
  <c r="P91" i="12"/>
  <c r="Q91" i="12" s="1"/>
  <c r="M102" i="12"/>
  <c r="O102" i="12" s="1"/>
  <c r="X30" i="12" s="1"/>
  <c r="P102" i="12"/>
  <c r="Q102" i="12" s="1"/>
  <c r="M89" i="12"/>
  <c r="O89" i="12" s="1"/>
  <c r="P89" i="12"/>
  <c r="Q89" i="12" s="1"/>
  <c r="S117" i="12"/>
  <c r="O117" i="12"/>
  <c r="M149" i="12"/>
  <c r="Z50" i="12" s="1"/>
  <c r="P149" i="12"/>
  <c r="Q149" i="12" s="1"/>
  <c r="M145" i="12"/>
  <c r="P145" i="12"/>
  <c r="Q145" i="12" s="1"/>
  <c r="M95" i="12"/>
  <c r="O95" i="12" s="1"/>
  <c r="X23" i="12" s="1"/>
  <c r="P95" i="12"/>
  <c r="Q95" i="12" s="1"/>
  <c r="M94" i="12"/>
  <c r="O94" i="12" s="1"/>
  <c r="X22" i="12" s="1"/>
  <c r="P94" i="12"/>
  <c r="Q94" i="12" s="1"/>
  <c r="M84" i="12"/>
  <c r="L107" i="12"/>
  <c r="P84" i="12"/>
  <c r="Q84" i="12" s="1"/>
  <c r="P23" i="12"/>
  <c r="Q23" i="12" s="1"/>
  <c r="M23" i="12"/>
  <c r="O23" i="12" s="1"/>
  <c r="S111" i="12"/>
  <c r="Z37" i="12"/>
  <c r="Q109" i="12"/>
  <c r="P140" i="12"/>
  <c r="M148" i="12"/>
  <c r="P148" i="12"/>
  <c r="Q148" i="12" s="1"/>
  <c r="M144" i="12"/>
  <c r="P144" i="12"/>
  <c r="Q144" i="12" s="1"/>
  <c r="S133" i="12"/>
  <c r="Z41" i="12"/>
  <c r="O118" i="12"/>
  <c r="S118" i="12"/>
  <c r="M90" i="12"/>
  <c r="O90" i="12" s="1"/>
  <c r="X19" i="12" s="1"/>
  <c r="P90" i="12"/>
  <c r="Q90" i="12" s="1"/>
  <c r="L82" i="12"/>
  <c r="P15" i="12"/>
  <c r="Q15" i="12" s="1"/>
  <c r="M15" i="12"/>
  <c r="S126" i="12"/>
  <c r="Z40" i="12"/>
  <c r="AA23" i="12"/>
  <c r="AA30" i="12"/>
  <c r="M147" i="12"/>
  <c r="P147" i="12"/>
  <c r="Q147" i="12" s="1"/>
  <c r="M99" i="12"/>
  <c r="O99" i="12" s="1"/>
  <c r="X25" i="12" s="1"/>
  <c r="AA25" i="12" s="1"/>
  <c r="P99" i="12"/>
  <c r="Q99" i="12" s="1"/>
  <c r="M49" i="12"/>
  <c r="O49" i="12" s="1"/>
  <c r="P49" i="12"/>
  <c r="Q49" i="12" s="1"/>
  <c r="S125" i="12"/>
  <c r="O125" i="12"/>
  <c r="M93" i="12"/>
  <c r="O93" i="12" s="1"/>
  <c r="X21" i="12" s="1"/>
  <c r="AA21" i="12" s="1"/>
  <c r="P93" i="12"/>
  <c r="Q93" i="12" s="1"/>
  <c r="M150" i="12"/>
  <c r="P150" i="12"/>
  <c r="Q150" i="12" s="1"/>
  <c r="M146" i="12"/>
  <c r="P146" i="12"/>
  <c r="Q146" i="12" s="1"/>
  <c r="M142" i="12"/>
  <c r="P142" i="12"/>
  <c r="L155" i="12"/>
  <c r="S122" i="12"/>
  <c r="Z38" i="12"/>
  <c r="M98" i="12"/>
  <c r="O98" i="12" s="1"/>
  <c r="P98" i="12"/>
  <c r="Q98" i="12" s="1"/>
  <c r="M140" i="12"/>
  <c r="P48" i="12"/>
  <c r="Q48" i="12" s="1"/>
  <c r="M48" i="12"/>
  <c r="O48" i="12" s="1"/>
  <c r="X18" i="12"/>
  <c r="AA18" i="12" s="1"/>
  <c r="M24" i="12"/>
  <c r="O24" i="12" s="1"/>
  <c r="P24" i="12"/>
  <c r="Q24" i="12" s="1"/>
  <c r="P207" i="4" l="1"/>
  <c r="O176" i="4"/>
  <c r="O110" i="12"/>
  <c r="S110" i="12"/>
  <c r="S135" i="12"/>
  <c r="Z39" i="12"/>
  <c r="O140" i="12"/>
  <c r="O136" i="4"/>
  <c r="X43" i="4"/>
  <c r="AC55" i="4"/>
  <c r="AC51" i="4"/>
  <c r="AC47" i="4"/>
  <c r="AC43" i="4"/>
  <c r="AC58" i="4"/>
  <c r="AC54" i="4"/>
  <c r="AC50" i="4"/>
  <c r="AC46" i="4"/>
  <c r="AC42" i="4"/>
  <c r="AC52" i="4"/>
  <c r="AC44" i="4"/>
  <c r="AC57" i="4"/>
  <c r="AC53" i="4"/>
  <c r="AC49" i="4"/>
  <c r="AC45" i="4"/>
  <c r="AC41" i="4"/>
  <c r="AC56" i="4"/>
  <c r="AC48" i="4"/>
  <c r="Y40" i="12"/>
  <c r="AA40" i="12" s="1"/>
  <c r="Y39" i="12"/>
  <c r="Y38" i="12"/>
  <c r="AA38" i="12" s="1"/>
  <c r="Y37" i="12"/>
  <c r="AA37" i="12" s="1"/>
  <c r="Y36" i="12"/>
  <c r="Y44" i="12"/>
  <c r="AA44" i="12" s="1"/>
  <c r="Y43" i="12"/>
  <c r="AA43" i="12" s="1"/>
  <c r="Y42" i="12"/>
  <c r="AA42" i="12" s="1"/>
  <c r="Y41" i="12"/>
  <c r="AA41" i="12" s="1"/>
  <c r="AA19" i="12"/>
  <c r="M82" i="12"/>
  <c r="O15" i="12"/>
  <c r="O84" i="12"/>
  <c r="M107" i="12"/>
  <c r="X24" i="12"/>
  <c r="AA24" i="12" s="1"/>
  <c r="M155" i="12"/>
  <c r="O142" i="12"/>
  <c r="Z48" i="12"/>
  <c r="P155" i="12"/>
  <c r="Q142" i="12"/>
  <c r="AA39" i="12" l="1"/>
  <c r="AA43" i="4"/>
  <c r="AA59" i="4" s="1"/>
  <c r="X59" i="4"/>
  <c r="O107" i="12"/>
  <c r="X14" i="12"/>
  <c r="O155" i="12"/>
  <c r="Z31" i="12"/>
  <c r="AA26" i="12"/>
  <c r="O82" i="12"/>
  <c r="Y46" i="12"/>
  <c r="AC46" i="12" s="1"/>
  <c r="AA36" i="12"/>
  <c r="AA20" i="12" l="1"/>
  <c r="AC11" i="12" s="1"/>
  <c r="AC9" i="12" s="1"/>
  <c r="AC7" i="12" s="1"/>
  <c r="W31" i="12"/>
  <c r="Y31" i="12"/>
  <c r="AA22" i="12"/>
  <c r="Y51" i="12"/>
  <c r="AA51" i="12" s="1"/>
  <c r="Y50" i="12"/>
  <c r="AA50" i="12" s="1"/>
  <c r="Y49" i="12"/>
  <c r="AA49" i="12" s="1"/>
  <c r="Y48" i="12"/>
  <c r="AA14" i="12"/>
  <c r="AA31" i="12" s="1"/>
  <c r="X31" i="12"/>
  <c r="Y58" i="12" l="1"/>
  <c r="AA48" i="12"/>
  <c r="AC27" i="12"/>
  <c r="AD27" i="12" s="1"/>
  <c r="AC25" i="12"/>
  <c r="AD25" i="12" s="1"/>
  <c r="AC29" i="12"/>
  <c r="AD29" i="12" s="1"/>
  <c r="AC26" i="12"/>
  <c r="AD26" i="12" s="1"/>
  <c r="AX11" i="12" s="1"/>
  <c r="AX9" i="12" s="1"/>
  <c r="AX7" i="12" s="1"/>
  <c r="AC24" i="12"/>
  <c r="AD24" i="12" s="1"/>
  <c r="AC30" i="12"/>
  <c r="AD30" i="12" s="1"/>
  <c r="AC28" i="12"/>
  <c r="AD28" i="12" s="1"/>
  <c r="AC21" i="12"/>
  <c r="AD21" i="12" s="1"/>
  <c r="AC16" i="12"/>
  <c r="AD16" i="12" s="1"/>
  <c r="AC23" i="12"/>
  <c r="AD23" i="12" s="1"/>
  <c r="AC18" i="12"/>
  <c r="AD18" i="12" s="1"/>
  <c r="AC20" i="12"/>
  <c r="AD20" i="12" s="1"/>
  <c r="AC13" i="12"/>
  <c r="AC17" i="12"/>
  <c r="AD17" i="12" s="1"/>
  <c r="AC22" i="12"/>
  <c r="AD22" i="12" s="1"/>
  <c r="AC19" i="12"/>
  <c r="AD19" i="12" s="1"/>
  <c r="AC15" i="12"/>
  <c r="AD15" i="12" s="1"/>
  <c r="AC14" i="12"/>
  <c r="AD14" i="12" s="1"/>
  <c r="L154" i="2"/>
  <c r="L153" i="2"/>
  <c r="L152" i="2"/>
  <c r="L151" i="2"/>
  <c r="L150" i="2"/>
  <c r="L149" i="2"/>
  <c r="L148" i="2"/>
  <c r="L40" i="2"/>
  <c r="L20" i="2"/>
  <c r="F152" i="10"/>
  <c r="F74" i="10"/>
  <c r="E147" i="10"/>
  <c r="G147" i="10" s="1"/>
  <c r="H147" i="10" s="1"/>
  <c r="E148" i="10"/>
  <c r="G148" i="10" s="1"/>
  <c r="H148" i="10" s="1"/>
  <c r="E149" i="10"/>
  <c r="G149" i="10" s="1"/>
  <c r="H149" i="10" s="1"/>
  <c r="E150" i="10"/>
  <c r="G150" i="10" s="1"/>
  <c r="H150" i="10" s="1"/>
  <c r="E151" i="10"/>
  <c r="G151" i="10" s="1"/>
  <c r="H151" i="10" s="1"/>
  <c r="E138" i="10"/>
  <c r="G138" i="10" s="1"/>
  <c r="H138" i="10" s="1"/>
  <c r="E136" i="10"/>
  <c r="G136" i="10" s="1"/>
  <c r="H136" i="10" s="1"/>
  <c r="E135" i="10"/>
  <c r="G135" i="10" s="1"/>
  <c r="H135" i="10" s="1"/>
  <c r="E134" i="10"/>
  <c r="G134" i="10" s="1"/>
  <c r="H134" i="10" s="1"/>
  <c r="E105" i="10"/>
  <c r="G105" i="10" s="1"/>
  <c r="H105" i="10" s="1"/>
  <c r="E103" i="10"/>
  <c r="G103" i="10" s="1"/>
  <c r="H103" i="10" s="1"/>
  <c r="E102" i="10"/>
  <c r="G102" i="10" s="1"/>
  <c r="H102" i="10" s="1"/>
  <c r="E101" i="10"/>
  <c r="G101" i="10" s="1"/>
  <c r="H101" i="10" s="1"/>
  <c r="E100" i="10"/>
  <c r="G100" i="10" s="1"/>
  <c r="H100" i="10" s="1"/>
  <c r="E99" i="10"/>
  <c r="G99" i="10" s="1"/>
  <c r="H99" i="10" s="1"/>
  <c r="E98" i="10"/>
  <c r="G98" i="10" s="1"/>
  <c r="H98" i="10" s="1"/>
  <c r="E97" i="10"/>
  <c r="G97" i="10" s="1"/>
  <c r="H97" i="10" s="1"/>
  <c r="E96" i="10"/>
  <c r="G96" i="10" s="1"/>
  <c r="H96" i="10" s="1"/>
  <c r="E95" i="10"/>
  <c r="G95" i="10" s="1"/>
  <c r="H95" i="10" s="1"/>
  <c r="E75" i="10"/>
  <c r="G75" i="10" s="1"/>
  <c r="H75" i="10" s="1"/>
  <c r="E73" i="10"/>
  <c r="G73" i="10" s="1"/>
  <c r="H73" i="10" s="1"/>
  <c r="E72" i="10"/>
  <c r="G72" i="10" s="1"/>
  <c r="H72" i="10" s="1"/>
  <c r="S35" i="11"/>
  <c r="AC34" i="11"/>
  <c r="Z34" i="11"/>
  <c r="Z33" i="11"/>
  <c r="AC33" i="11" s="1"/>
  <c r="AC31" i="11"/>
  <c r="Z31" i="11"/>
  <c r="Z30" i="11"/>
  <c r="AC30" i="11" s="1"/>
  <c r="AC28" i="11"/>
  <c r="S27" i="11"/>
  <c r="V26" i="11"/>
  <c r="S26" i="11"/>
  <c r="V25" i="11"/>
  <c r="S25" i="11"/>
  <c r="L25" i="11"/>
  <c r="AC24" i="11"/>
  <c r="Z24" i="11"/>
  <c r="AC23" i="11"/>
  <c r="AA23" i="11" s="1"/>
  <c r="AC22" i="11"/>
  <c r="AC21" i="11"/>
  <c r="AA21" i="11" s="1"/>
  <c r="AB21" i="11" s="1"/>
  <c r="AC19" i="11"/>
  <c r="Z19" i="11"/>
  <c r="Z18" i="11"/>
  <c r="AC18" i="11" s="1"/>
  <c r="AA19" i="11" s="1"/>
  <c r="N17" i="11"/>
  <c r="AC16" i="11"/>
  <c r="Z16" i="11"/>
  <c r="Z15" i="11"/>
  <c r="AC15" i="11" s="1"/>
  <c r="AC13" i="11"/>
  <c r="Z13" i="11"/>
  <c r="Z12" i="11"/>
  <c r="AC12" i="11" s="1"/>
  <c r="M12" i="11"/>
  <c r="N12" i="11" s="1"/>
  <c r="L13" i="11" s="1"/>
  <c r="L15" i="11" s="1"/>
  <c r="S11" i="11"/>
  <c r="S10" i="11"/>
  <c r="V10" i="11" s="1"/>
  <c r="T11" i="11" s="1"/>
  <c r="L10" i="11"/>
  <c r="AA22" i="11" l="1"/>
  <c r="M36" i="2"/>
  <c r="X38" i="2"/>
  <c r="X34" i="2"/>
  <c r="X30" i="2"/>
  <c r="X26" i="2"/>
  <c r="X39" i="2"/>
  <c r="X35" i="2"/>
  <c r="X31" i="2"/>
  <c r="X27" i="2"/>
  <c r="X36" i="2"/>
  <c r="X32" i="2"/>
  <c r="X28" i="2"/>
  <c r="X37" i="2"/>
  <c r="X33" i="2"/>
  <c r="X29" i="2"/>
  <c r="X25" i="2"/>
  <c r="AC31" i="12"/>
  <c r="AD13" i="12"/>
  <c r="AD31" i="12" s="1"/>
  <c r="AF11" i="12"/>
  <c r="AF9" i="12" s="1"/>
  <c r="AF7" i="12" s="1"/>
  <c r="AX26" i="12"/>
  <c r="AX24" i="12"/>
  <c r="AX30" i="12"/>
  <c r="AX28" i="12"/>
  <c r="AX21" i="12"/>
  <c r="AX27" i="12"/>
  <c r="AX25" i="12"/>
  <c r="AX29" i="12"/>
  <c r="AX22" i="12"/>
  <c r="AX20" i="12"/>
  <c r="AX13" i="12"/>
  <c r="AX19" i="12"/>
  <c r="AX17" i="12"/>
  <c r="AX15" i="12"/>
  <c r="AX23" i="12"/>
  <c r="AX18" i="12"/>
  <c r="AX16" i="12"/>
  <c r="AX14" i="12"/>
  <c r="AA58" i="12"/>
  <c r="AC58" i="12"/>
  <c r="U11" i="11"/>
  <c r="AA24" i="11"/>
  <c r="AB24" i="11" s="1"/>
  <c r="M25" i="2"/>
  <c r="M29" i="2"/>
  <c r="M33" i="2"/>
  <c r="M37" i="2"/>
  <c r="M26" i="2"/>
  <c r="M30" i="2"/>
  <c r="M34" i="2"/>
  <c r="M38" i="2"/>
  <c r="M27" i="2"/>
  <c r="M31" i="2"/>
  <c r="M35" i="2"/>
  <c r="M39" i="2"/>
  <c r="M28" i="2"/>
  <c r="M32" i="2"/>
  <c r="AA12" i="11"/>
  <c r="AB12" i="11" s="1"/>
  <c r="AA13" i="11"/>
  <c r="AB13" i="11" s="1"/>
  <c r="AB19" i="11"/>
  <c r="AA16" i="11"/>
  <c r="AB16" i="11" s="1"/>
  <c r="AA15" i="11"/>
  <c r="AB15" i="11" s="1"/>
  <c r="V12" i="11"/>
  <c r="T10" i="11"/>
  <c r="U10" i="11" s="1"/>
  <c r="AA18" i="11"/>
  <c r="AB18" i="11" s="1"/>
  <c r="X40" i="2" l="1"/>
  <c r="AF26" i="12"/>
  <c r="AG26" i="12" s="1"/>
  <c r="AF24" i="12"/>
  <c r="AG24" i="12" s="1"/>
  <c r="AF30" i="12"/>
  <c r="AG30" i="12" s="1"/>
  <c r="AF28" i="12"/>
  <c r="AG28" i="12" s="1"/>
  <c r="AF21" i="12"/>
  <c r="AG21" i="12" s="1"/>
  <c r="AF27" i="12"/>
  <c r="AG27" i="12" s="1"/>
  <c r="AF25" i="12"/>
  <c r="AG25" i="12" s="1"/>
  <c r="AF29" i="12"/>
  <c r="AG29" i="12" s="1"/>
  <c r="AF23" i="12"/>
  <c r="AG23" i="12" s="1"/>
  <c r="AF20" i="12"/>
  <c r="AG20" i="12" s="1"/>
  <c r="AF13" i="12"/>
  <c r="AF19" i="12"/>
  <c r="AG19" i="12" s="1"/>
  <c r="AF15" i="12"/>
  <c r="AG15" i="12" s="1"/>
  <c r="AF17" i="12"/>
  <c r="AG17" i="12" s="1"/>
  <c r="AF22" i="12"/>
  <c r="AG22" i="12" s="1"/>
  <c r="AF18" i="12"/>
  <c r="AG18" i="12" s="1"/>
  <c r="AF16" i="12"/>
  <c r="AG16" i="12" s="1"/>
  <c r="AF14" i="12"/>
  <c r="AG14" i="12" s="1"/>
  <c r="AX31" i="12"/>
  <c r="M40" i="2"/>
  <c r="E143" i="10"/>
  <c r="G143" i="10" s="1"/>
  <c r="H143" i="10" s="1"/>
  <c r="AF31" i="12" l="1"/>
  <c r="AG13" i="12"/>
  <c r="AG31" i="12" l="1"/>
  <c r="AH12" i="2" l="1"/>
  <c r="AH11" i="2"/>
  <c r="AH8" i="2"/>
  <c r="AH7" i="2"/>
  <c r="AU7" i="12" l="1"/>
  <c r="AU35" i="4"/>
  <c r="AI35" i="4"/>
  <c r="AI7" i="12"/>
  <c r="AO35" i="4"/>
  <c r="AO7" i="12"/>
  <c r="AR7" i="12"/>
  <c r="AR35" i="4"/>
  <c r="AR58" i="4" l="1"/>
  <c r="AR54" i="4"/>
  <c r="AR50" i="4"/>
  <c r="AR46" i="4"/>
  <c r="AR42" i="4"/>
  <c r="AR57" i="4"/>
  <c r="AR53" i="4"/>
  <c r="AR49" i="4"/>
  <c r="AR45" i="4"/>
  <c r="AR41" i="4"/>
  <c r="AR56" i="4"/>
  <c r="AR52" i="4"/>
  <c r="AR48" i="4"/>
  <c r="AR44" i="4"/>
  <c r="AR55" i="4"/>
  <c r="AR51" i="4"/>
  <c r="AR47" i="4"/>
  <c r="AR43" i="4"/>
  <c r="AI55" i="4"/>
  <c r="AI51" i="4"/>
  <c r="AI47" i="4"/>
  <c r="AI43" i="4"/>
  <c r="AI58" i="4"/>
  <c r="AI54" i="4"/>
  <c r="AI50" i="4"/>
  <c r="AI46" i="4"/>
  <c r="AI42" i="4"/>
  <c r="AI56" i="4"/>
  <c r="AI48" i="4"/>
  <c r="AI57" i="4"/>
  <c r="AI53" i="4"/>
  <c r="AI49" i="4"/>
  <c r="AI45" i="4"/>
  <c r="AI41" i="4"/>
  <c r="AI52" i="4"/>
  <c r="AI44" i="4"/>
  <c r="AU56" i="4"/>
  <c r="AU52" i="4"/>
  <c r="AU48" i="4"/>
  <c r="AU44" i="4"/>
  <c r="AU55" i="4"/>
  <c r="AU51" i="4"/>
  <c r="AU47" i="4"/>
  <c r="AU43" i="4"/>
  <c r="AU58" i="4"/>
  <c r="AU54" i="4"/>
  <c r="AU50" i="4"/>
  <c r="AU46" i="4"/>
  <c r="AU42" i="4"/>
  <c r="AU57" i="4"/>
  <c r="AU53" i="4"/>
  <c r="AU49" i="4"/>
  <c r="AU45" i="4"/>
  <c r="AU41" i="4"/>
  <c r="AO56" i="4"/>
  <c r="AO52" i="4"/>
  <c r="AO55" i="4"/>
  <c r="AO51" i="4"/>
  <c r="AO47" i="4"/>
  <c r="AO43" i="4"/>
  <c r="AO46" i="4"/>
  <c r="AO42" i="4"/>
  <c r="AO48" i="4"/>
  <c r="AO58" i="4"/>
  <c r="AO54" i="4"/>
  <c r="AO50" i="4"/>
  <c r="AO57" i="4"/>
  <c r="AO53" i="4"/>
  <c r="AO49" i="4"/>
  <c r="AO45" i="4"/>
  <c r="AO41" i="4"/>
  <c r="AO44" i="4"/>
  <c r="AI13" i="12"/>
  <c r="AI20" i="12"/>
  <c r="AJ20" i="12" s="1"/>
  <c r="AI25" i="12"/>
  <c r="AJ25" i="12" s="1"/>
  <c r="AI21" i="12"/>
  <c r="AJ21" i="12" s="1"/>
  <c r="AI29" i="12"/>
  <c r="AJ29" i="12" s="1"/>
  <c r="AI16" i="12"/>
  <c r="AJ16" i="12" s="1"/>
  <c r="AI18" i="12"/>
  <c r="AJ18" i="12" s="1"/>
  <c r="AL11" i="12" s="1"/>
  <c r="AL9" i="12" s="1"/>
  <c r="AL7" i="12" s="1"/>
  <c r="AZ7" i="12" s="1"/>
  <c r="AI27" i="12"/>
  <c r="AJ27" i="12" s="1"/>
  <c r="AI19" i="12"/>
  <c r="AJ19" i="12" s="1"/>
  <c r="AI30" i="12"/>
  <c r="AJ30" i="12" s="1"/>
  <c r="AI14" i="12"/>
  <c r="AJ14" i="12" s="1"/>
  <c r="AI22" i="12"/>
  <c r="AJ22" i="12" s="1"/>
  <c r="AI15" i="12"/>
  <c r="AJ15" i="12" s="1"/>
  <c r="AI17" i="12"/>
  <c r="AJ17" i="12" s="1"/>
  <c r="AI24" i="12"/>
  <c r="AJ24" i="12" s="1"/>
  <c r="AI26" i="12"/>
  <c r="AJ26" i="12" s="1"/>
  <c r="AI28" i="12"/>
  <c r="AJ28" i="12" s="1"/>
  <c r="AI23" i="12"/>
  <c r="AJ23" i="12" s="1"/>
  <c r="AR26" i="12"/>
  <c r="AR24" i="12"/>
  <c r="AR27" i="12"/>
  <c r="AR28" i="12"/>
  <c r="AR22" i="12"/>
  <c r="AR14" i="12"/>
  <c r="AR23" i="12"/>
  <c r="AR20" i="12"/>
  <c r="AR15" i="12"/>
  <c r="AR18" i="12"/>
  <c r="AR13" i="12"/>
  <c r="AR17" i="12"/>
  <c r="AR16" i="12"/>
  <c r="AR21" i="12"/>
  <c r="AR19" i="12"/>
  <c r="AR25" i="12"/>
  <c r="AR30" i="12"/>
  <c r="AR29" i="12"/>
  <c r="AO27" i="12"/>
  <c r="AO29" i="12"/>
  <c r="AO28" i="12"/>
  <c r="AO30" i="12"/>
  <c r="AO24" i="12"/>
  <c r="AO26" i="12"/>
  <c r="AO13" i="12"/>
  <c r="AO20" i="12"/>
  <c r="AO18" i="12"/>
  <c r="AO16" i="12"/>
  <c r="AO14" i="12"/>
  <c r="AO23" i="12"/>
  <c r="AO21" i="12"/>
  <c r="AO25" i="12"/>
  <c r="AO17" i="12"/>
  <c r="AO22" i="12"/>
  <c r="AO19" i="12"/>
  <c r="AO15" i="12"/>
  <c r="AU30" i="12"/>
  <c r="AU13" i="12"/>
  <c r="AU18" i="12"/>
  <c r="AU24" i="12"/>
  <c r="AU16" i="12"/>
  <c r="AU27" i="12"/>
  <c r="AU26" i="12"/>
  <c r="AU20" i="12"/>
  <c r="AU21" i="12"/>
  <c r="AU23" i="12"/>
  <c r="AU28" i="12"/>
  <c r="AU29" i="12"/>
  <c r="AU19" i="12"/>
  <c r="AU14" i="12"/>
  <c r="AU22" i="12"/>
  <c r="AU25" i="12"/>
  <c r="AU17" i="12"/>
  <c r="AU15" i="12"/>
  <c r="X96" i="4"/>
  <c r="X84" i="4"/>
  <c r="AO31" i="12" l="1"/>
  <c r="AL24" i="12"/>
  <c r="AM24" i="12" s="1"/>
  <c r="AP24" i="12" s="1"/>
  <c r="AS24" i="12" s="1"/>
  <c r="AV24" i="12" s="1"/>
  <c r="AY24" i="12" s="1"/>
  <c r="AL27" i="12"/>
  <c r="AM27" i="12" s="1"/>
  <c r="AP27" i="12" s="1"/>
  <c r="AS27" i="12" s="1"/>
  <c r="AV27" i="12" s="1"/>
  <c r="AY27" i="12" s="1"/>
  <c r="AL20" i="12"/>
  <c r="AM20" i="12" s="1"/>
  <c r="AP20" i="12" s="1"/>
  <c r="AS20" i="12" s="1"/>
  <c r="AV20" i="12" s="1"/>
  <c r="AY20" i="12" s="1"/>
  <c r="AL15" i="12"/>
  <c r="AM15" i="12" s="1"/>
  <c r="AP15" i="12" s="1"/>
  <c r="AS15" i="12" s="1"/>
  <c r="AV15" i="12" s="1"/>
  <c r="AY15" i="12" s="1"/>
  <c r="AL14" i="12"/>
  <c r="AM14" i="12" s="1"/>
  <c r="AP14" i="12" s="1"/>
  <c r="AS14" i="12" s="1"/>
  <c r="AV14" i="12" s="1"/>
  <c r="AY14" i="12" s="1"/>
  <c r="AL30" i="12"/>
  <c r="AM30" i="12" s="1"/>
  <c r="AP30" i="12" s="1"/>
  <c r="AS30" i="12" s="1"/>
  <c r="AV30" i="12" s="1"/>
  <c r="AY30" i="12" s="1"/>
  <c r="AL25" i="12"/>
  <c r="AM25" i="12" s="1"/>
  <c r="AP25" i="12" s="1"/>
  <c r="AS25" i="12" s="1"/>
  <c r="AV25" i="12" s="1"/>
  <c r="AY25" i="12" s="1"/>
  <c r="AL13" i="12"/>
  <c r="AL23" i="12"/>
  <c r="AM23" i="12" s="1"/>
  <c r="AP23" i="12" s="1"/>
  <c r="AS23" i="12" s="1"/>
  <c r="AV23" i="12" s="1"/>
  <c r="AY23" i="12" s="1"/>
  <c r="AL28" i="12"/>
  <c r="AM28" i="12" s="1"/>
  <c r="AP28" i="12" s="1"/>
  <c r="AS28" i="12" s="1"/>
  <c r="AV28" i="12" s="1"/>
  <c r="AY28" i="12" s="1"/>
  <c r="AL29" i="12"/>
  <c r="AM29" i="12" s="1"/>
  <c r="AP29" i="12" s="1"/>
  <c r="AS29" i="12" s="1"/>
  <c r="AV29" i="12" s="1"/>
  <c r="AY29" i="12" s="1"/>
  <c r="AL19" i="12"/>
  <c r="AM19" i="12" s="1"/>
  <c r="AP19" i="12" s="1"/>
  <c r="AS19" i="12" s="1"/>
  <c r="AV19" i="12" s="1"/>
  <c r="AY19" i="12" s="1"/>
  <c r="AL18" i="12"/>
  <c r="AM18" i="12" s="1"/>
  <c r="AP18" i="12" s="1"/>
  <c r="AS18" i="12" s="1"/>
  <c r="AV18" i="12" s="1"/>
  <c r="AY18" i="12" s="1"/>
  <c r="AL26" i="12"/>
  <c r="AM26" i="12" s="1"/>
  <c r="AP26" i="12" s="1"/>
  <c r="AS26" i="12" s="1"/>
  <c r="AV26" i="12" s="1"/>
  <c r="AY26" i="12" s="1"/>
  <c r="AL21" i="12"/>
  <c r="AM21" i="12" s="1"/>
  <c r="AP21" i="12" s="1"/>
  <c r="AS21" i="12" s="1"/>
  <c r="AV21" i="12" s="1"/>
  <c r="AY21" i="12" s="1"/>
  <c r="AL22" i="12"/>
  <c r="AM22" i="12" s="1"/>
  <c r="AP22" i="12" s="1"/>
  <c r="AS22" i="12" s="1"/>
  <c r="AV22" i="12" s="1"/>
  <c r="AY22" i="12" s="1"/>
  <c r="AL17" i="12"/>
  <c r="AM17" i="12" s="1"/>
  <c r="AP17" i="12" s="1"/>
  <c r="AS17" i="12" s="1"/>
  <c r="AV17" i="12" s="1"/>
  <c r="AY17" i="12" s="1"/>
  <c r="AL16" i="12"/>
  <c r="AM16" i="12" s="1"/>
  <c r="AP16" i="12" s="1"/>
  <c r="AS16" i="12" s="1"/>
  <c r="AV16" i="12" s="1"/>
  <c r="AY16" i="12" s="1"/>
  <c r="AR31" i="12"/>
  <c r="AU31" i="12"/>
  <c r="AI31" i="12"/>
  <c r="AJ13" i="12"/>
  <c r="AJ31" i="12" s="1"/>
  <c r="Z90" i="4"/>
  <c r="Z88" i="4"/>
  <c r="AL31" i="12" l="1"/>
  <c r="AM13" i="12"/>
  <c r="L135" i="2"/>
  <c r="L134" i="2"/>
  <c r="L133" i="2"/>
  <c r="L132" i="2"/>
  <c r="L131" i="2"/>
  <c r="L130" i="2"/>
  <c r="L129" i="2"/>
  <c r="AM31" i="12" l="1"/>
  <c r="AP13" i="12"/>
  <c r="AP31" i="12" l="1"/>
  <c r="AS13" i="12"/>
  <c r="AS31" i="12" l="1"/>
  <c r="AV13" i="12"/>
  <c r="W28" i="4"/>
  <c r="AA28" i="4" s="1"/>
  <c r="W16" i="4"/>
  <c r="W26" i="4"/>
  <c r="W27" i="4"/>
  <c r="AA27" i="4" s="1"/>
  <c r="W15" i="4"/>
  <c r="W30" i="4"/>
  <c r="W14" i="4"/>
  <c r="W29" i="4"/>
  <c r="AA29" i="4" s="1"/>
  <c r="W25" i="4"/>
  <c r="AA13" i="4"/>
  <c r="AY13" i="12" l="1"/>
  <c r="AY31" i="12" s="1"/>
  <c r="AV31" i="12"/>
  <c r="E68" i="10" l="1"/>
  <c r="G68" i="10" s="1"/>
  <c r="H68" i="10" s="1"/>
  <c r="E61" i="10" l="1"/>
  <c r="G61" i="10" s="1"/>
  <c r="H61" i="10" s="1"/>
  <c r="Z89" i="4" l="1"/>
  <c r="E146" i="10" l="1"/>
  <c r="G146" i="10" s="1"/>
  <c r="H146" i="10" s="1"/>
  <c r="E66" i="10"/>
  <c r="G66" i="10" s="1"/>
  <c r="H66" i="10" s="1"/>
  <c r="W23" i="4"/>
  <c r="E141" i="10"/>
  <c r="G141" i="10" s="1"/>
  <c r="H141" i="10" s="1"/>
  <c r="Z23" i="11"/>
  <c r="AB23" i="11" s="1"/>
  <c r="E69" i="10"/>
  <c r="G69" i="10" s="1"/>
  <c r="H69" i="10" s="1"/>
  <c r="E56" i="10"/>
  <c r="G56" i="10" s="1"/>
  <c r="H56" i="10" s="1"/>
  <c r="W24" i="4"/>
  <c r="E70" i="10"/>
  <c r="G70" i="10" s="1"/>
  <c r="H70" i="10" s="1"/>
  <c r="W17" i="4"/>
  <c r="AA30" i="4" l="1"/>
  <c r="AA16" i="4"/>
  <c r="AA24" i="4"/>
  <c r="AA23" i="4"/>
  <c r="AA15" i="4"/>
  <c r="AA25" i="4"/>
  <c r="W22" i="4"/>
  <c r="AA22" i="4" s="1"/>
  <c r="AA17" i="4"/>
  <c r="W21" i="4"/>
  <c r="AA21" i="4" s="1"/>
  <c r="W19" i="4"/>
  <c r="AA19" i="4" s="1"/>
  <c r="E121" i="10"/>
  <c r="G121" i="10" s="1"/>
  <c r="H121" i="10" s="1"/>
  <c r="E46" i="10"/>
  <c r="G46" i="10" s="1"/>
  <c r="H46" i="10" s="1"/>
  <c r="E54" i="10"/>
  <c r="G54" i="10" s="1"/>
  <c r="H54" i="10" s="1"/>
  <c r="E86" i="10"/>
  <c r="E108" i="10"/>
  <c r="G108" i="10" s="1"/>
  <c r="H108" i="10" s="1"/>
  <c r="E59" i="10"/>
  <c r="G59" i="10" s="1"/>
  <c r="H59" i="10" s="1"/>
  <c r="E62" i="10"/>
  <c r="G62" i="10" s="1"/>
  <c r="H62" i="10" s="1"/>
  <c r="E132" i="10"/>
  <c r="G132" i="10" s="1"/>
  <c r="H132" i="10" s="1"/>
  <c r="E113" i="10"/>
  <c r="G113" i="10" s="1"/>
  <c r="H113" i="10" s="1"/>
  <c r="E60" i="10"/>
  <c r="G60" i="10" s="1"/>
  <c r="H60" i="10" s="1"/>
  <c r="E45" i="10"/>
  <c r="G45" i="10" s="1"/>
  <c r="H45" i="10" s="1"/>
  <c r="E110" i="10"/>
  <c r="G110" i="10" s="1"/>
  <c r="H110" i="10" s="1"/>
  <c r="E47" i="10"/>
  <c r="G47" i="10" s="1"/>
  <c r="H47" i="10" s="1"/>
  <c r="E88" i="10"/>
  <c r="E64" i="10"/>
  <c r="G64" i="10" s="1"/>
  <c r="H64" i="10" s="1"/>
  <c r="E131" i="10"/>
  <c r="G131" i="10" s="1"/>
  <c r="H131" i="10" s="1"/>
  <c r="E81" i="10"/>
  <c r="E115" i="10"/>
  <c r="G115" i="10" s="1"/>
  <c r="H115" i="10" s="1"/>
  <c r="E93" i="10"/>
  <c r="E123" i="10"/>
  <c r="G123" i="10" s="1"/>
  <c r="H123" i="10" s="1"/>
  <c r="E118" i="10"/>
  <c r="G118" i="10" s="1"/>
  <c r="H118" i="10" s="1"/>
  <c r="E80" i="10"/>
  <c r="E129" i="10"/>
  <c r="G129" i="10" s="1"/>
  <c r="H129" i="10" s="1"/>
  <c r="E144" i="10"/>
  <c r="G144" i="10" s="1"/>
  <c r="H144" i="10" s="1"/>
  <c r="E116" i="10"/>
  <c r="G116" i="10" s="1"/>
  <c r="H116" i="10" s="1"/>
  <c r="E83" i="10"/>
  <c r="E65" i="10"/>
  <c r="G65" i="10" s="1"/>
  <c r="H65" i="10" s="1"/>
  <c r="E111" i="10"/>
  <c r="G111" i="10" s="1"/>
  <c r="H111" i="10" s="1"/>
  <c r="E130" i="10"/>
  <c r="G130" i="10" s="1"/>
  <c r="H130" i="10" s="1"/>
  <c r="Z22" i="11"/>
  <c r="AB22" i="11" s="1"/>
  <c r="E77" i="10"/>
  <c r="E28" i="10"/>
  <c r="G28" i="10" s="1"/>
  <c r="H28" i="10" s="1"/>
  <c r="E92" i="10"/>
  <c r="E33" i="10"/>
  <c r="G33" i="10" s="1"/>
  <c r="H33" i="10" s="1"/>
  <c r="E21" i="10"/>
  <c r="G21" i="10" s="1"/>
  <c r="H21" i="10" s="1"/>
  <c r="E67" i="10"/>
  <c r="G67" i="10" s="1"/>
  <c r="H67" i="10" s="1"/>
  <c r="E71" i="10"/>
  <c r="G71" i="10" s="1"/>
  <c r="H71" i="10" s="1"/>
  <c r="E25" i="10"/>
  <c r="G25" i="10" s="1"/>
  <c r="H25" i="10" s="1"/>
  <c r="Z27" i="11"/>
  <c r="AC27" i="11" s="1"/>
  <c r="V27" i="11" s="1"/>
  <c r="O25" i="11" s="1"/>
  <c r="E41" i="10"/>
  <c r="G41" i="10" s="1"/>
  <c r="H41" i="10" s="1"/>
  <c r="L39" i="11"/>
  <c r="E24" i="10"/>
  <c r="G24" i="10" s="1"/>
  <c r="H24" i="10" s="1"/>
  <c r="E91" i="10"/>
  <c r="E30" i="10"/>
  <c r="G30" i="10" s="1"/>
  <c r="H30" i="10" s="1"/>
  <c r="E42" i="10"/>
  <c r="G42" i="10" s="1"/>
  <c r="H42" i="10" s="1"/>
  <c r="E23" i="10"/>
  <c r="G23" i="10" s="1"/>
  <c r="H23" i="10" s="1"/>
  <c r="E90" i="10"/>
  <c r="E22" i="10"/>
  <c r="G22" i="10" s="1"/>
  <c r="H22" i="10" s="1"/>
  <c r="E32" i="10"/>
  <c r="G32" i="10" s="1"/>
  <c r="H32" i="10" s="1"/>
  <c r="E15" i="10"/>
  <c r="G15" i="10" s="1"/>
  <c r="H15" i="10" s="1"/>
  <c r="L36" i="11"/>
  <c r="E36" i="10"/>
  <c r="G36" i="10" s="1"/>
  <c r="H36" i="10" s="1"/>
  <c r="E63" i="10"/>
  <c r="G63" i="10" s="1"/>
  <c r="H63" i="10" s="1"/>
  <c r="E55" i="10"/>
  <c r="G55" i="10" s="1"/>
  <c r="H55" i="10" s="1"/>
  <c r="E125" i="10"/>
  <c r="G125" i="10" s="1"/>
  <c r="H125" i="10" s="1"/>
  <c r="Z28" i="11"/>
  <c r="S23" i="11"/>
  <c r="V23" i="11" s="1"/>
  <c r="E20" i="10"/>
  <c r="G20" i="10" s="1"/>
  <c r="H20" i="10" s="1"/>
  <c r="E79" i="10"/>
  <c r="E26" i="10"/>
  <c r="G26" i="10" s="1"/>
  <c r="H26" i="10" s="1"/>
  <c r="E9" i="10"/>
  <c r="G9" i="10" s="1"/>
  <c r="H9" i="10" s="1"/>
  <c r="E35" i="10"/>
  <c r="G35" i="10" s="1"/>
  <c r="H35" i="10" s="1"/>
  <c r="E127" i="10"/>
  <c r="G127" i="10" s="1"/>
  <c r="H127" i="10" s="1"/>
  <c r="E51" i="10"/>
  <c r="G51" i="10" s="1"/>
  <c r="H51" i="10" s="1"/>
  <c r="E44" i="10"/>
  <c r="G44" i="10" s="1"/>
  <c r="H44" i="10" s="1"/>
  <c r="E124" i="10"/>
  <c r="G124" i="10" s="1"/>
  <c r="H124" i="10" s="1"/>
  <c r="E114" i="10"/>
  <c r="G114" i="10" s="1"/>
  <c r="H114" i="10" s="1"/>
  <c r="E122" i="10"/>
  <c r="G122" i="10" s="1"/>
  <c r="H122" i="10" s="1"/>
  <c r="E49" i="10"/>
  <c r="G49" i="10" s="1"/>
  <c r="H49" i="10" s="1"/>
  <c r="E119" i="10"/>
  <c r="E112" i="10"/>
  <c r="G112" i="10" s="1"/>
  <c r="H112" i="10" s="1"/>
  <c r="E128" i="10"/>
  <c r="G128" i="10" s="1"/>
  <c r="H128" i="10" s="1"/>
  <c r="E48" i="10"/>
  <c r="G48" i="10" s="1"/>
  <c r="H48" i="10" s="1"/>
  <c r="E120" i="10"/>
  <c r="G120" i="10" s="1"/>
  <c r="H120" i="10" s="1"/>
  <c r="E109" i="10"/>
  <c r="G109" i="10" s="1"/>
  <c r="H109" i="10" s="1"/>
  <c r="E84" i="10"/>
  <c r="E53" i="10"/>
  <c r="G53" i="10" s="1"/>
  <c r="H53" i="10" s="1"/>
  <c r="E126" i="10"/>
  <c r="G126" i="10" s="1"/>
  <c r="H126" i="10" s="1"/>
  <c r="E89" i="10"/>
  <c r="E133" i="10"/>
  <c r="G133" i="10" s="1"/>
  <c r="H133" i="10" s="1"/>
  <c r="E50" i="10"/>
  <c r="G50" i="10" s="1"/>
  <c r="H50" i="10" s="1"/>
  <c r="E107" i="10"/>
  <c r="G107" i="10" s="1"/>
  <c r="H107" i="10" s="1"/>
  <c r="E117" i="10"/>
  <c r="G117" i="10" s="1"/>
  <c r="H117" i="10" s="1"/>
  <c r="E87" i="10"/>
  <c r="E82" i="10"/>
  <c r="E52" i="10"/>
  <c r="G52" i="10" s="1"/>
  <c r="H52" i="10" s="1"/>
  <c r="E10" i="10"/>
  <c r="G10" i="10" s="1"/>
  <c r="H10" i="10" s="1"/>
  <c r="E78" i="10"/>
  <c r="E43" i="10"/>
  <c r="G43" i="10" s="1"/>
  <c r="H43" i="10" s="1"/>
  <c r="E18" i="10"/>
  <c r="G18" i="10" s="1"/>
  <c r="H18" i="10" s="1"/>
  <c r="E8" i="10"/>
  <c r="G8" i="10" s="1"/>
  <c r="H8" i="10" s="1"/>
  <c r="E140" i="10"/>
  <c r="G140" i="10" s="1"/>
  <c r="H140" i="10" s="1"/>
  <c r="E14" i="10"/>
  <c r="G14" i="10" s="1"/>
  <c r="H14" i="10" s="1"/>
  <c r="E39" i="10"/>
  <c r="G39" i="10" s="1"/>
  <c r="H39" i="10" s="1"/>
  <c r="E17" i="10"/>
  <c r="G17" i="10" s="1"/>
  <c r="H17" i="10" s="1"/>
  <c r="E85" i="10"/>
  <c r="E38" i="10"/>
  <c r="G38" i="10" s="1"/>
  <c r="H38" i="10" s="1"/>
  <c r="E58" i="10"/>
  <c r="G58" i="10" s="1"/>
  <c r="H58" i="10" s="1"/>
  <c r="E29" i="10"/>
  <c r="G29" i="10" s="1"/>
  <c r="H29" i="10" s="1"/>
  <c r="E142" i="10"/>
  <c r="G142" i="10" s="1"/>
  <c r="H142" i="10" s="1"/>
  <c r="E31" i="10"/>
  <c r="G31" i="10" s="1"/>
  <c r="H31" i="10" s="1"/>
  <c r="E37" i="10"/>
  <c r="G37" i="10" s="1"/>
  <c r="H37" i="10" s="1"/>
  <c r="E94" i="10"/>
  <c r="E13" i="10"/>
  <c r="G13" i="10" s="1"/>
  <c r="H13" i="10" s="1"/>
  <c r="E19" i="10"/>
  <c r="G19" i="10" s="1"/>
  <c r="H19" i="10" s="1"/>
  <c r="E12" i="10"/>
  <c r="G12" i="10" s="1"/>
  <c r="H12" i="10" s="1"/>
  <c r="E40" i="10"/>
  <c r="G40" i="10" s="1"/>
  <c r="H40" i="10" s="1"/>
  <c r="E34" i="10"/>
  <c r="G34" i="10" s="1"/>
  <c r="H34" i="10" s="1"/>
  <c r="E11" i="10"/>
  <c r="G11" i="10" s="1"/>
  <c r="H11" i="10" s="1"/>
  <c r="E27" i="10"/>
  <c r="G27" i="10" s="1"/>
  <c r="H27" i="10" s="1"/>
  <c r="E57" i="10"/>
  <c r="G57" i="10" s="1"/>
  <c r="H57" i="10" s="1"/>
  <c r="E145" i="10"/>
  <c r="G145" i="10" s="1"/>
  <c r="H145" i="10" s="1"/>
  <c r="E16" i="10"/>
  <c r="G16" i="10" s="1"/>
  <c r="H16" i="10" s="1"/>
  <c r="AA18" i="4" l="1"/>
  <c r="E106" i="10"/>
  <c r="E7" i="10"/>
  <c r="S12" i="11"/>
  <c r="E139" i="10"/>
  <c r="E76" i="10"/>
  <c r="E104" i="10" s="1"/>
  <c r="T23" i="11"/>
  <c r="U23" i="11" s="1"/>
  <c r="T12" i="11"/>
  <c r="O10" i="11"/>
  <c r="I10" i="11" s="1"/>
  <c r="Z87" i="4"/>
  <c r="Y31" i="4"/>
  <c r="F119" i="10"/>
  <c r="F137" i="10" s="1"/>
  <c r="W20" i="4"/>
  <c r="AA20" i="4" s="1"/>
  <c r="AA26" i="4" l="1"/>
  <c r="X31" i="4"/>
  <c r="AA14" i="4"/>
  <c r="AC11" i="4"/>
  <c r="AC9" i="4" s="1"/>
  <c r="AC7" i="4" s="1"/>
  <c r="W31" i="4"/>
  <c r="U12" i="11"/>
  <c r="M39" i="11"/>
  <c r="M25" i="11"/>
  <c r="N25" i="11" s="1"/>
  <c r="M10" i="11"/>
  <c r="N10" i="11" s="1"/>
  <c r="M36" i="11"/>
  <c r="N36" i="11" s="1"/>
  <c r="G119" i="10"/>
  <c r="H119" i="10" s="1"/>
  <c r="AA75" i="4"/>
  <c r="G106" i="10"/>
  <c r="H106" i="10" s="1"/>
  <c r="E137" i="10"/>
  <c r="G137" i="10" s="1"/>
  <c r="H137" i="10" s="1"/>
  <c r="G139" i="10"/>
  <c r="H139" i="10" s="1"/>
  <c r="E152" i="10"/>
  <c r="G152" i="10" s="1"/>
  <c r="H152" i="10" s="1"/>
  <c r="G7" i="10"/>
  <c r="H7" i="10" s="1"/>
  <c r="E74" i="10"/>
  <c r="G74" i="10" s="1"/>
  <c r="H74" i="10" s="1"/>
  <c r="Z31" i="4" l="1"/>
  <c r="AD57" i="4"/>
  <c r="AD55" i="4"/>
  <c r="AD53" i="4"/>
  <c r="AD51" i="4"/>
  <c r="AD48" i="4"/>
  <c r="AD43" i="4"/>
  <c r="AD50" i="4"/>
  <c r="AD47" i="4"/>
  <c r="AD45" i="4"/>
  <c r="AD44" i="4"/>
  <c r="AD42" i="4"/>
  <c r="AD49" i="4"/>
  <c r="AD58" i="4"/>
  <c r="AD56" i="4"/>
  <c r="AD54" i="4"/>
  <c r="AX39" i="4" s="1"/>
  <c r="AX37" i="4" s="1"/>
  <c r="AX35" i="4" s="1"/>
  <c r="AD52" i="4"/>
  <c r="AD46" i="4"/>
  <c r="AC19" i="4"/>
  <c r="AD19" i="4" s="1"/>
  <c r="AC22" i="4"/>
  <c r="AD22" i="4" s="1"/>
  <c r="AC25" i="4"/>
  <c r="AD25" i="4" s="1"/>
  <c r="AC28" i="4"/>
  <c r="AD28" i="4" s="1"/>
  <c r="AC23" i="4"/>
  <c r="AD23" i="4" s="1"/>
  <c r="AC13" i="4"/>
  <c r="AC15" i="4"/>
  <c r="AD15" i="4" s="1"/>
  <c r="AC18" i="4"/>
  <c r="AD18" i="4" s="1"/>
  <c r="AC21" i="4"/>
  <c r="AD21" i="4" s="1"/>
  <c r="AC24" i="4"/>
  <c r="AD24" i="4" s="1"/>
  <c r="AC14" i="4"/>
  <c r="AD14" i="4" s="1"/>
  <c r="AC17" i="4"/>
  <c r="AD17" i="4" s="1"/>
  <c r="AC26" i="4"/>
  <c r="AD26" i="4" s="1"/>
  <c r="AC16" i="4"/>
  <c r="AD16" i="4" s="1"/>
  <c r="AC27" i="4"/>
  <c r="AD27" i="4" s="1"/>
  <c r="AC30" i="4"/>
  <c r="AD30" i="4" s="1"/>
  <c r="AC20" i="4"/>
  <c r="AD20" i="4" s="1"/>
  <c r="AC29" i="4"/>
  <c r="AD29" i="4" s="1"/>
  <c r="Y87" i="4"/>
  <c r="Y89" i="4"/>
  <c r="AA89" i="4" s="1"/>
  <c r="Y88" i="4"/>
  <c r="AA88" i="4" s="1"/>
  <c r="Y90" i="4"/>
  <c r="AA90" i="4" s="1"/>
  <c r="AA31" i="4"/>
  <c r="Y82" i="4"/>
  <c r="AA82" i="4" s="1"/>
  <c r="Y81" i="4"/>
  <c r="AA81" i="4" s="1"/>
  <c r="AA76" i="4"/>
  <c r="Y78" i="4"/>
  <c r="AA78" i="4" s="1"/>
  <c r="Y77" i="4"/>
  <c r="AA77" i="4" s="1"/>
  <c r="Y83" i="4"/>
  <c r="AA83" i="4" s="1"/>
  <c r="Y79" i="4"/>
  <c r="AA79" i="4" s="1"/>
  <c r="Y80" i="4"/>
  <c r="AA80" i="4" s="1"/>
  <c r="AF11" i="4" l="1"/>
  <c r="AX58" i="4"/>
  <c r="AX54" i="4"/>
  <c r="AX50" i="4"/>
  <c r="AX46" i="4"/>
  <c r="AX42" i="4"/>
  <c r="AX57" i="4"/>
  <c r="AX53" i="4"/>
  <c r="AX49" i="4"/>
  <c r="AX45" i="4"/>
  <c r="AX41" i="4"/>
  <c r="AX56" i="4"/>
  <c r="AX52" i="4"/>
  <c r="AX48" i="4"/>
  <c r="AX44" i="4"/>
  <c r="AX55" i="4"/>
  <c r="AX51" i="4"/>
  <c r="AX47" i="4"/>
  <c r="AX43" i="4"/>
  <c r="AC59" i="4"/>
  <c r="AD41" i="4"/>
  <c r="AD59" i="4" s="1"/>
  <c r="AF39" i="4"/>
  <c r="AF37" i="4" s="1"/>
  <c r="AF35" i="4" s="1"/>
  <c r="AX11" i="4"/>
  <c r="AX9" i="4" s="1"/>
  <c r="AX7" i="4" s="1"/>
  <c r="AC31" i="4"/>
  <c r="Y85" i="4"/>
  <c r="AC85" i="4" s="1"/>
  <c r="AD13" i="4"/>
  <c r="AD31" i="4" s="1"/>
  <c r="AA87" i="4"/>
  <c r="Y97" i="4"/>
  <c r="AF57" i="4" l="1"/>
  <c r="AF53" i="4"/>
  <c r="AF49" i="4"/>
  <c r="AF45" i="4"/>
  <c r="AF41" i="4"/>
  <c r="AF56" i="4"/>
  <c r="AF52" i="4"/>
  <c r="AF48" i="4"/>
  <c r="AF44" i="4"/>
  <c r="AF58" i="4"/>
  <c r="AF50" i="4"/>
  <c r="AF42" i="4"/>
  <c r="AF55" i="4"/>
  <c r="AF51" i="4"/>
  <c r="AF47" i="4"/>
  <c r="AF43" i="4"/>
  <c r="AF54" i="4"/>
  <c r="AF46" i="4"/>
  <c r="AX30" i="4"/>
  <c r="AX26" i="4"/>
  <c r="AX22" i="4"/>
  <c r="AX18" i="4"/>
  <c r="AX14" i="4"/>
  <c r="AX29" i="4"/>
  <c r="AX25" i="4"/>
  <c r="AX21" i="4"/>
  <c r="AX17" i="4"/>
  <c r="AX13" i="4"/>
  <c r="AX28" i="4"/>
  <c r="AX24" i="4"/>
  <c r="AX20" i="4"/>
  <c r="AX16" i="4"/>
  <c r="AX27" i="4"/>
  <c r="AX23" i="4"/>
  <c r="AX19" i="4"/>
  <c r="AX15" i="4"/>
  <c r="AF9" i="4"/>
  <c r="AF7" i="4" s="1"/>
  <c r="AC97" i="4"/>
  <c r="AA97" i="4"/>
  <c r="AG57" i="4" l="1"/>
  <c r="AG55" i="4"/>
  <c r="AG53" i="4"/>
  <c r="AG51" i="4"/>
  <c r="AG58" i="4"/>
  <c r="AG56" i="4"/>
  <c r="AG54" i="4"/>
  <c r="AG52" i="4"/>
  <c r="AG50" i="4"/>
  <c r="AG47" i="4"/>
  <c r="AG45" i="4"/>
  <c r="AG44" i="4"/>
  <c r="AG42" i="4"/>
  <c r="AG49" i="4"/>
  <c r="AG46" i="4"/>
  <c r="AG48" i="4"/>
  <c r="AG43" i="4"/>
  <c r="AX59" i="4"/>
  <c r="AF29" i="4"/>
  <c r="AG29" i="4" s="1"/>
  <c r="AF25" i="4"/>
  <c r="AG25" i="4" s="1"/>
  <c r="AF21" i="4"/>
  <c r="AG21" i="4" s="1"/>
  <c r="AF17" i="4"/>
  <c r="AG17" i="4" s="1"/>
  <c r="AF13" i="4"/>
  <c r="AG13" i="4" s="1"/>
  <c r="AF28" i="4"/>
  <c r="AG28" i="4" s="1"/>
  <c r="AF24" i="4"/>
  <c r="AG24" i="4" s="1"/>
  <c r="AF20" i="4"/>
  <c r="AG20" i="4" s="1"/>
  <c r="AF16" i="4"/>
  <c r="AG16" i="4" s="1"/>
  <c r="AF27" i="4"/>
  <c r="AG27" i="4" s="1"/>
  <c r="AF23" i="4"/>
  <c r="AG23" i="4" s="1"/>
  <c r="AF19" i="4"/>
  <c r="AG19" i="4" s="1"/>
  <c r="AF15" i="4"/>
  <c r="AG15" i="4" s="1"/>
  <c r="AF30" i="4"/>
  <c r="AG30" i="4" s="1"/>
  <c r="AF26" i="4"/>
  <c r="AG26" i="4" s="1"/>
  <c r="AF18" i="4"/>
  <c r="AG18" i="4" s="1"/>
  <c r="AF22" i="4"/>
  <c r="AG22" i="4" s="1"/>
  <c r="AF14" i="4"/>
  <c r="AG14" i="4" s="1"/>
  <c r="AX31" i="4"/>
  <c r="AI11" i="4"/>
  <c r="AF59" i="4" l="1"/>
  <c r="AG41" i="4"/>
  <c r="AG59" i="4" s="1"/>
  <c r="AF31" i="4"/>
  <c r="AI9" i="4"/>
  <c r="AI7" i="4" s="1"/>
  <c r="AG31" i="4"/>
  <c r="AJ58" i="4" l="1"/>
  <c r="AJ56" i="4"/>
  <c r="AJ54" i="4"/>
  <c r="AJ52" i="4"/>
  <c r="AJ44" i="4"/>
  <c r="AJ42" i="4"/>
  <c r="AJ49" i="4"/>
  <c r="AJ46" i="4"/>
  <c r="AJ48" i="4"/>
  <c r="AJ43" i="4"/>
  <c r="AJ50" i="4"/>
  <c r="AJ57" i="4"/>
  <c r="AJ55" i="4"/>
  <c r="AJ53" i="4"/>
  <c r="AJ51" i="4"/>
  <c r="AJ47" i="4"/>
  <c r="AJ45" i="4"/>
  <c r="AI27" i="4"/>
  <c r="AJ27" i="4" s="1"/>
  <c r="AI23" i="4"/>
  <c r="AJ23" i="4" s="1"/>
  <c r="AI19" i="4"/>
  <c r="AJ19" i="4" s="1"/>
  <c r="AI15" i="4"/>
  <c r="AJ15" i="4" s="1"/>
  <c r="AI30" i="4"/>
  <c r="AJ30" i="4" s="1"/>
  <c r="AI26" i="4"/>
  <c r="AJ26" i="4" s="1"/>
  <c r="AI22" i="4"/>
  <c r="AJ22" i="4" s="1"/>
  <c r="AI18" i="4"/>
  <c r="AJ18" i="4" s="1"/>
  <c r="AI14" i="4"/>
  <c r="AJ14" i="4" s="1"/>
  <c r="AI29" i="4"/>
  <c r="AJ29" i="4" s="1"/>
  <c r="AI25" i="4"/>
  <c r="AJ25" i="4" s="1"/>
  <c r="AI21" i="4"/>
  <c r="AJ21" i="4" s="1"/>
  <c r="AI17" i="4"/>
  <c r="AJ17" i="4" s="1"/>
  <c r="AI13" i="4"/>
  <c r="AJ13" i="4" s="1"/>
  <c r="AI28" i="4"/>
  <c r="AJ28" i="4" s="1"/>
  <c r="AI20" i="4"/>
  <c r="AJ20" i="4" s="1"/>
  <c r="AI24" i="4"/>
  <c r="AJ24" i="4" s="1"/>
  <c r="AI16" i="4"/>
  <c r="AJ16" i="4" s="1"/>
  <c r="AL39" i="4" l="1"/>
  <c r="AL37" i="4" s="1"/>
  <c r="AL35" i="4" s="1"/>
  <c r="AL49" i="4" s="1"/>
  <c r="AI59" i="4"/>
  <c r="AJ41" i="4"/>
  <c r="AJ59" i="4" s="1"/>
  <c r="AL11" i="4"/>
  <c r="AL9" i="4" s="1"/>
  <c r="AL7" i="4" s="1"/>
  <c r="AI31" i="4"/>
  <c r="AJ31" i="4"/>
  <c r="F91" i="10"/>
  <c r="G91" i="10" s="1"/>
  <c r="H91" i="10" s="1"/>
  <c r="F76" i="10"/>
  <c r="G76" i="10" s="1"/>
  <c r="H76" i="10" s="1"/>
  <c r="F79" i="10"/>
  <c r="G79" i="10" s="1"/>
  <c r="H79" i="10" s="1"/>
  <c r="F87" i="10"/>
  <c r="G87" i="10" s="1"/>
  <c r="H87" i="10" s="1"/>
  <c r="F84" i="10"/>
  <c r="G84" i="10" s="1"/>
  <c r="H84" i="10" s="1"/>
  <c r="F86" i="10"/>
  <c r="G86" i="10" s="1"/>
  <c r="H86" i="10" s="1"/>
  <c r="F88" i="10"/>
  <c r="G88" i="10" s="1"/>
  <c r="H88" i="10" s="1"/>
  <c r="F81" i="10"/>
  <c r="G81" i="10" s="1"/>
  <c r="H81" i="10" s="1"/>
  <c r="F85" i="10"/>
  <c r="G85" i="10" s="1"/>
  <c r="H85" i="10" s="1"/>
  <c r="F78" i="10"/>
  <c r="G78" i="10" s="1"/>
  <c r="H78" i="10" s="1"/>
  <c r="F89" i="10"/>
  <c r="G89" i="10" s="1"/>
  <c r="H89" i="10" s="1"/>
  <c r="F90" i="10"/>
  <c r="G90" i="10" s="1"/>
  <c r="H90" i="10" s="1"/>
  <c r="F82" i="10"/>
  <c r="G82" i="10" s="1"/>
  <c r="H82" i="10" s="1"/>
  <c r="F93" i="10"/>
  <c r="G93" i="10" s="1"/>
  <c r="H93" i="10" s="1"/>
  <c r="F77" i="10"/>
  <c r="G77" i="10" s="1"/>
  <c r="H77" i="10" s="1"/>
  <c r="F83" i="10"/>
  <c r="G83" i="10" s="1"/>
  <c r="H83" i="10" s="1"/>
  <c r="F80" i="10"/>
  <c r="G80" i="10" s="1"/>
  <c r="H80" i="10" s="1"/>
  <c r="F94" i="10"/>
  <c r="G94" i="10" s="1"/>
  <c r="H94" i="10" s="1"/>
  <c r="F92" i="10"/>
  <c r="G92" i="10" s="1"/>
  <c r="H92" i="10" s="1"/>
  <c r="AL43" i="4" l="1"/>
  <c r="AM43" i="4" s="1"/>
  <c r="AL58" i="4"/>
  <c r="AM58" i="4" s="1"/>
  <c r="AL55" i="4"/>
  <c r="AM55" i="4" s="1"/>
  <c r="AL50" i="4"/>
  <c r="AM50" i="4" s="1"/>
  <c r="AL56" i="4"/>
  <c r="AM56" i="4" s="1"/>
  <c r="AL42" i="4"/>
  <c r="AM42" i="4" s="1"/>
  <c r="AL46" i="4"/>
  <c r="AM46" i="4" s="1"/>
  <c r="AL48" i="4"/>
  <c r="AM48" i="4" s="1"/>
  <c r="AL45" i="4"/>
  <c r="AM45" i="4" s="1"/>
  <c r="AL51" i="4"/>
  <c r="AM51" i="4" s="1"/>
  <c r="AL44" i="4"/>
  <c r="AM44" i="4" s="1"/>
  <c r="AL53" i="4"/>
  <c r="AM53" i="4" s="1"/>
  <c r="AL41" i="4"/>
  <c r="AL57" i="4"/>
  <c r="AM57" i="4" s="1"/>
  <c r="AZ35" i="4"/>
  <c r="AL47" i="4"/>
  <c r="AM47" i="4" s="1"/>
  <c r="AL54" i="4"/>
  <c r="AM54" i="4" s="1"/>
  <c r="AL52" i="4"/>
  <c r="AM52" i="4" s="1"/>
  <c r="AM49" i="4"/>
  <c r="AL29" i="4"/>
  <c r="AM29" i="4" s="1"/>
  <c r="AL25" i="4"/>
  <c r="AM25" i="4" s="1"/>
  <c r="AL21" i="4"/>
  <c r="AM21" i="4" s="1"/>
  <c r="AL17" i="4"/>
  <c r="AM17" i="4" s="1"/>
  <c r="AL13" i="4"/>
  <c r="AM13" i="4" s="1"/>
  <c r="AL28" i="4"/>
  <c r="AM28" i="4" s="1"/>
  <c r="AL24" i="4"/>
  <c r="AM24" i="4" s="1"/>
  <c r="AL20" i="4"/>
  <c r="AM20" i="4" s="1"/>
  <c r="AL16" i="4"/>
  <c r="AM16" i="4" s="1"/>
  <c r="AL27" i="4"/>
  <c r="AM27" i="4" s="1"/>
  <c r="AL23" i="4"/>
  <c r="AM23" i="4" s="1"/>
  <c r="AL19" i="4"/>
  <c r="AM19" i="4" s="1"/>
  <c r="AL15" i="4"/>
  <c r="AM15" i="4" s="1"/>
  <c r="AL30" i="4"/>
  <c r="AM30" i="4" s="1"/>
  <c r="AL22" i="4"/>
  <c r="AM22" i="4" s="1"/>
  <c r="AL26" i="4"/>
  <c r="AM26" i="4" s="1"/>
  <c r="AL18" i="4"/>
  <c r="AM18" i="4" s="1"/>
  <c r="AL14" i="4"/>
  <c r="AM14" i="4" s="1"/>
  <c r="F104" i="10"/>
  <c r="G104" i="10" s="1"/>
  <c r="H104" i="10" s="1"/>
  <c r="AL59" i="4" l="1"/>
  <c r="AM41" i="4"/>
  <c r="AM59" i="4" s="1"/>
  <c r="AO11" i="4"/>
  <c r="AO9" i="4" s="1"/>
  <c r="AO7" i="4" s="1"/>
  <c r="AM31" i="4"/>
  <c r="AL31" i="4"/>
  <c r="AP57" i="4" l="1"/>
  <c r="AP58" i="4"/>
  <c r="AP56" i="4"/>
  <c r="AP52" i="4"/>
  <c r="AP48" i="4"/>
  <c r="AP46" i="4"/>
  <c r="AP44" i="4"/>
  <c r="AP42" i="4"/>
  <c r="AP51" i="4"/>
  <c r="AP49" i="4"/>
  <c r="AP53" i="4"/>
  <c r="AP47" i="4"/>
  <c r="AP45" i="4"/>
  <c r="AP43" i="4"/>
  <c r="AP50" i="4"/>
  <c r="AP55" i="4"/>
  <c r="AP54" i="4"/>
  <c r="AO28" i="4"/>
  <c r="AP28" i="4" s="1"/>
  <c r="AO24" i="4"/>
  <c r="AP24" i="4" s="1"/>
  <c r="AO27" i="4"/>
  <c r="AP27" i="4" s="1"/>
  <c r="AO23" i="4"/>
  <c r="AP23" i="4" s="1"/>
  <c r="AO19" i="4"/>
  <c r="AP19" i="4" s="1"/>
  <c r="AO15" i="4"/>
  <c r="AP15" i="4" s="1"/>
  <c r="AO18" i="4"/>
  <c r="AP18" i="4" s="1"/>
  <c r="AO14" i="4"/>
  <c r="AP14" i="4" s="1"/>
  <c r="AO17" i="4"/>
  <c r="AP17" i="4" s="1"/>
  <c r="AO13" i="4"/>
  <c r="AP13" i="4" s="1"/>
  <c r="AO16" i="4"/>
  <c r="AP16" i="4" s="1"/>
  <c r="AO30" i="4"/>
  <c r="AP30" i="4" s="1"/>
  <c r="AO26" i="4"/>
  <c r="AP26" i="4" s="1"/>
  <c r="AO22" i="4"/>
  <c r="AP22" i="4" s="1"/>
  <c r="AO20" i="4"/>
  <c r="AP20" i="4" s="1"/>
  <c r="AO29" i="4"/>
  <c r="AP29" i="4" s="1"/>
  <c r="AO25" i="4"/>
  <c r="AP25" i="4" s="1"/>
  <c r="AO21" i="4"/>
  <c r="AP21" i="4" s="1"/>
  <c r="AR11" i="4" l="1"/>
  <c r="AR9" i="4" s="1"/>
  <c r="AR7" i="4" s="1"/>
  <c r="AO59" i="4"/>
  <c r="AP41" i="4"/>
  <c r="AP59" i="4" s="1"/>
  <c r="AP31" i="4"/>
  <c r="AO31" i="4"/>
  <c r="AS57" i="4" l="1"/>
  <c r="AS55" i="4"/>
  <c r="AS53" i="4"/>
  <c r="AS51" i="4"/>
  <c r="AS58" i="4"/>
  <c r="AS56" i="4"/>
  <c r="AS54" i="4"/>
  <c r="AS52" i="4"/>
  <c r="AS50" i="4"/>
  <c r="AS47" i="4"/>
  <c r="AS45" i="4"/>
  <c r="AS44" i="4"/>
  <c r="AS42" i="4"/>
  <c r="AS49" i="4"/>
  <c r="AS46" i="4"/>
  <c r="AS43" i="4"/>
  <c r="AS48" i="4"/>
  <c r="AR30" i="4"/>
  <c r="AS30" i="4" s="1"/>
  <c r="AR26" i="4"/>
  <c r="AS26" i="4" s="1"/>
  <c r="AR22" i="4"/>
  <c r="AS22" i="4" s="1"/>
  <c r="AR18" i="4"/>
  <c r="AS18" i="4" s="1"/>
  <c r="AR14" i="4"/>
  <c r="AS14" i="4" s="1"/>
  <c r="AR29" i="4"/>
  <c r="AS29" i="4" s="1"/>
  <c r="AR25" i="4"/>
  <c r="AS25" i="4" s="1"/>
  <c r="AR21" i="4"/>
  <c r="AS21" i="4" s="1"/>
  <c r="AR17" i="4"/>
  <c r="AS17" i="4" s="1"/>
  <c r="AR13" i="4"/>
  <c r="AS13" i="4" s="1"/>
  <c r="AR28" i="4"/>
  <c r="AS28" i="4" s="1"/>
  <c r="AR24" i="4"/>
  <c r="AS24" i="4" s="1"/>
  <c r="AR20" i="4"/>
  <c r="AS20" i="4" s="1"/>
  <c r="AR16" i="4"/>
  <c r="AS16" i="4" s="1"/>
  <c r="AR27" i="4"/>
  <c r="AS27" i="4" s="1"/>
  <c r="AR23" i="4"/>
  <c r="AS23" i="4" s="1"/>
  <c r="AR19" i="4"/>
  <c r="AS19" i="4" s="1"/>
  <c r="AR15" i="4"/>
  <c r="AS15" i="4" s="1"/>
  <c r="AU11" i="4" l="1"/>
  <c r="AU9" i="4" s="1"/>
  <c r="AU7" i="4" s="1"/>
  <c r="AU28" i="4" s="1"/>
  <c r="AV28" i="4" s="1"/>
  <c r="AY28" i="4" s="1"/>
  <c r="AV54" i="4"/>
  <c r="AY54" i="4" s="1"/>
  <c r="AV52" i="4"/>
  <c r="AY52" i="4" s="1"/>
  <c r="AV44" i="4"/>
  <c r="AY44" i="4" s="1"/>
  <c r="AV46" i="4"/>
  <c r="AY46" i="4" s="1"/>
  <c r="AV43" i="4"/>
  <c r="AY43" i="4" s="1"/>
  <c r="AV53" i="4"/>
  <c r="AY53" i="4" s="1"/>
  <c r="AV51" i="4"/>
  <c r="AY51" i="4" s="1"/>
  <c r="AV45" i="4"/>
  <c r="AY45" i="4" s="1"/>
  <c r="AV48" i="4"/>
  <c r="AY48" i="4" s="1"/>
  <c r="AV49" i="4"/>
  <c r="AY49" i="4" s="1"/>
  <c r="AV47" i="4"/>
  <c r="AY47" i="4" s="1"/>
  <c r="AV56" i="4"/>
  <c r="AY56" i="4" s="1"/>
  <c r="AV55" i="4"/>
  <c r="AY55" i="4" s="1"/>
  <c r="AR59" i="4"/>
  <c r="AS41" i="4"/>
  <c r="AS59" i="4" s="1"/>
  <c r="AV42" i="4"/>
  <c r="AY42" i="4" s="1"/>
  <c r="AV50" i="4"/>
  <c r="AY50" i="4" s="1"/>
  <c r="AV58" i="4"/>
  <c r="AY58" i="4" s="1"/>
  <c r="AV57" i="4"/>
  <c r="AY57" i="4" s="1"/>
  <c r="AS31" i="4"/>
  <c r="AR31" i="4"/>
  <c r="AU18" i="4" l="1"/>
  <c r="AV18" i="4" s="1"/>
  <c r="AY18" i="4" s="1"/>
  <c r="AU21" i="4"/>
  <c r="AV21" i="4" s="1"/>
  <c r="AY21" i="4" s="1"/>
  <c r="AZ7" i="4"/>
  <c r="AU15" i="4"/>
  <c r="AV15" i="4" s="1"/>
  <c r="AY15" i="4" s="1"/>
  <c r="AU16" i="4"/>
  <c r="AV16" i="4" s="1"/>
  <c r="AY16" i="4" s="1"/>
  <c r="AU25" i="4"/>
  <c r="AV25" i="4" s="1"/>
  <c r="AY25" i="4" s="1"/>
  <c r="AU22" i="4"/>
  <c r="AV22" i="4" s="1"/>
  <c r="AY22" i="4" s="1"/>
  <c r="AU19" i="4"/>
  <c r="AV19" i="4" s="1"/>
  <c r="AY19" i="4" s="1"/>
  <c r="AU20" i="4"/>
  <c r="AV20" i="4" s="1"/>
  <c r="AY20" i="4" s="1"/>
  <c r="AU13" i="4"/>
  <c r="AV13" i="4" s="1"/>
  <c r="AY13" i="4" s="1"/>
  <c r="AU29" i="4"/>
  <c r="AV29" i="4" s="1"/>
  <c r="AY29" i="4" s="1"/>
  <c r="AU26" i="4"/>
  <c r="AV26" i="4" s="1"/>
  <c r="AY26" i="4" s="1"/>
  <c r="AU23" i="4"/>
  <c r="AV23" i="4" s="1"/>
  <c r="AY23" i="4" s="1"/>
  <c r="AU24" i="4"/>
  <c r="AV24" i="4" s="1"/>
  <c r="AY24" i="4" s="1"/>
  <c r="AU17" i="4"/>
  <c r="AV17" i="4" s="1"/>
  <c r="AY17" i="4" s="1"/>
  <c r="AU14" i="4"/>
  <c r="AV14" i="4" s="1"/>
  <c r="AY14" i="4" s="1"/>
  <c r="AU30" i="4"/>
  <c r="AV30" i="4" s="1"/>
  <c r="AY30" i="4" s="1"/>
  <c r="AU27" i="4"/>
  <c r="AV27" i="4" s="1"/>
  <c r="AY27" i="4" s="1"/>
  <c r="AU59" i="4"/>
  <c r="AV41" i="4"/>
  <c r="AY31" i="4" l="1"/>
  <c r="AU31" i="4"/>
  <c r="AV31" i="4"/>
  <c r="AV59" i="4"/>
  <c r="AY41" i="4"/>
  <c r="AY59" i="4" s="1"/>
  <c r="C22" i="13" l="1"/>
  <c r="E16" i="13"/>
  <c r="H16" i="13" s="1"/>
  <c r="E22" i="13" l="1"/>
  <c r="H22" i="13"/>
  <c r="J16" i="13"/>
  <c r="F17" i="13" l="1"/>
  <c r="F23" i="13"/>
  <c r="F24" i="13" s="1"/>
  <c r="F19" i="13"/>
  <c r="F20" i="13"/>
  <c r="F18" i="13"/>
  <c r="F16" i="13"/>
  <c r="F21" i="13"/>
  <c r="E23" i="13"/>
</calcChain>
</file>

<file path=xl/comments1.xml><?xml version="1.0" encoding="utf-8"?>
<comments xmlns="http://schemas.openxmlformats.org/spreadsheetml/2006/main">
  <authors>
    <author>Huda Ansyari</author>
  </authors>
  <commentList>
    <comment ref="N12" authorId="0" shapeId="0">
      <text>
        <r>
          <rPr>
            <b/>
            <sz val="9"/>
            <color indexed="81"/>
            <rFont val="Tahoma"/>
            <family val="2"/>
          </rPr>
          <t>Huda Ansyari:</t>
        </r>
        <r>
          <rPr>
            <sz val="9"/>
            <color indexed="81"/>
            <rFont val="Tahoma"/>
            <family val="2"/>
          </rPr>
          <t xml:space="preserve">
INNER BAWAH</t>
        </r>
      </text>
    </comment>
  </commentList>
</comments>
</file>

<file path=xl/sharedStrings.xml><?xml version="1.0" encoding="utf-8"?>
<sst xmlns="http://schemas.openxmlformats.org/spreadsheetml/2006/main" count="2187" uniqueCount="582">
  <si>
    <t>10100000000601</t>
  </si>
  <si>
    <t>CUT UP 4</t>
  </si>
  <si>
    <t>10100000000495</t>
  </si>
  <si>
    <t>CUT UP 10</t>
  </si>
  <si>
    <t>10100000000668</t>
  </si>
  <si>
    <t>CUT UP 9</t>
  </si>
  <si>
    <t>10100000000763</t>
  </si>
  <si>
    <t>CUT UP 9 ROCKET</t>
  </si>
  <si>
    <t>10100000000782</t>
  </si>
  <si>
    <t>CUT UP 9 WAKWAW</t>
  </si>
  <si>
    <t>10100000001639</t>
  </si>
  <si>
    <t>CUT UP 10 BK</t>
  </si>
  <si>
    <t>10100000000719</t>
  </si>
  <si>
    <t>CUT UP 9 H MCD</t>
  </si>
  <si>
    <t>10100000000757</t>
  </si>
  <si>
    <t>CUT UP 9 R MCD</t>
  </si>
  <si>
    <t>10100000000568</t>
  </si>
  <si>
    <t>CUT UP 14 CHIR - CHIR</t>
  </si>
  <si>
    <t>10100000000798</t>
  </si>
  <si>
    <t>CUT UP KERANJANG</t>
  </si>
  <si>
    <t>10100000000787</t>
  </si>
  <si>
    <t>CUT UP 9 ZEST CHICKEN</t>
  </si>
  <si>
    <t>10100000000712</t>
  </si>
  <si>
    <t>CUT UP 9 GEPREK JUARA</t>
  </si>
  <si>
    <t>10100000000512</t>
  </si>
  <si>
    <t>CUT UP 10 COB OR # SAYAP</t>
  </si>
  <si>
    <t>10100000001545</t>
  </si>
  <si>
    <t>CUT UP 2 ( 0.8 - 0.9 ) RICHEESE</t>
  </si>
  <si>
    <t>10100000001722</t>
  </si>
  <si>
    <t>CUT UP WENDYS ( 0.9 - 1.0 )</t>
  </si>
  <si>
    <t>10100000000535</t>
  </si>
  <si>
    <t>CUT UP 10 PCP</t>
  </si>
  <si>
    <t>Kode</t>
  </si>
  <si>
    <t>Item</t>
  </si>
  <si>
    <t xml:space="preserve">UNIT : </t>
  </si>
  <si>
    <t xml:space="preserve">PERIODE </t>
  </si>
  <si>
    <t>HARI JUAL</t>
  </si>
  <si>
    <t>HARI PRODUKSI SETTING</t>
  </si>
  <si>
    <t>KODE</t>
  </si>
  <si>
    <t>MATERIAL</t>
  </si>
  <si>
    <t>TON</t>
  </si>
  <si>
    <t>FORECAST (TON)</t>
  </si>
  <si>
    <t>TARGET BUFFER</t>
  </si>
  <si>
    <t xml:space="preserve">LEVEL STOK </t>
  </si>
  <si>
    <t>10100000000107</t>
  </si>
  <si>
    <t>AU ( 1.0 - 1.1 )</t>
  </si>
  <si>
    <t>10100000000147</t>
  </si>
  <si>
    <t>AU ( 1.2 - 1.3 )</t>
  </si>
  <si>
    <t>10100000000128</t>
  </si>
  <si>
    <t>AU ( 1.1 - 1.2 )</t>
  </si>
  <si>
    <t>10100000000114</t>
  </si>
  <si>
    <t>AU ( 1.0 - 1.1 ) LENGKAP</t>
  </si>
  <si>
    <t>BAHAN</t>
  </si>
  <si>
    <t>KEB EKOR/HARI</t>
  </si>
  <si>
    <t>BW LB</t>
  </si>
  <si>
    <t>JUMLAH EKOR/TRUK</t>
  </si>
  <si>
    <t xml:space="preserve">BW LB </t>
  </si>
  <si>
    <t>UKURAN AU</t>
  </si>
  <si>
    <t>EKOR</t>
  </si>
  <si>
    <t>KW 1</t>
  </si>
  <si>
    <t>KW 2</t>
  </si>
  <si>
    <t>TOTAL</t>
  </si>
  <si>
    <t>1.2 – 1.4</t>
  </si>
  <si>
    <t>UNDER 04</t>
  </si>
  <si>
    <t>1.3 – 1.5</t>
  </si>
  <si>
    <t>04 – 05</t>
  </si>
  <si>
    <t>1.4 – 1.6</t>
  </si>
  <si>
    <t>05 – 06</t>
  </si>
  <si>
    <t>06 – 07</t>
  </si>
  <si>
    <t>1.6 – 1.8</t>
  </si>
  <si>
    <t>07 – 08</t>
  </si>
  <si>
    <t>1.8 – 2.0</t>
  </si>
  <si>
    <t>08 – 09</t>
  </si>
  <si>
    <t>09 – 10</t>
  </si>
  <si>
    <t>10 – 11</t>
  </si>
  <si>
    <t>11 – 12</t>
  </si>
  <si>
    <t>12 – 13</t>
  </si>
  <si>
    <t>13 – 14</t>
  </si>
  <si>
    <t>14 – 15</t>
  </si>
  <si>
    <t>15 – 16</t>
  </si>
  <si>
    <t>Total</t>
  </si>
  <si>
    <t>17 - 18</t>
  </si>
  <si>
    <t>18 - 19</t>
  </si>
  <si>
    <t>19 - 20</t>
  </si>
  <si>
    <t>20 - UP</t>
  </si>
  <si>
    <t>10100000000039</t>
  </si>
  <si>
    <t>AU ( 0.5 - 0.6 )</t>
  </si>
  <si>
    <t>10100000000076</t>
  </si>
  <si>
    <t>AU ( 0.8 - 0.9 )</t>
  </si>
  <si>
    <t>10100000000062</t>
  </si>
  <si>
    <t>AU ( 0.7 - 0.8 )</t>
  </si>
  <si>
    <t>10100000000031</t>
  </si>
  <si>
    <t>AU ( 0.4 - 0.5 )</t>
  </si>
  <si>
    <t>10100000000051</t>
  </si>
  <si>
    <t>AU ( 0.6 - 0.7 )</t>
  </si>
  <si>
    <t>10100000000221</t>
  </si>
  <si>
    <t>AU ( 1.6 - 1.7 )</t>
  </si>
  <si>
    <t>10100000000169</t>
  </si>
  <si>
    <t>AU ( 1.3 - 1.4 ) CHIO CHICKEN</t>
  </si>
  <si>
    <t>10100000000166</t>
  </si>
  <si>
    <t>AU ( 1.3 - 1.4 )</t>
  </si>
  <si>
    <t>10100000000090</t>
  </si>
  <si>
    <t>AU ( 1.4 - 1.5 ) CHIO CHICKEN</t>
  </si>
  <si>
    <t>10100000000206</t>
  </si>
  <si>
    <t>AU ( 1.5 - 1.6 ) CHIO CHICKEN</t>
  </si>
  <si>
    <t>10100000000353</t>
  </si>
  <si>
    <t>BSB</t>
  </si>
  <si>
    <t>10100000000385</t>
  </si>
  <si>
    <t>BSB KING CHICKEN</t>
  </si>
  <si>
    <t>10100000000456</t>
  </si>
  <si>
    <t>CHICKEN STRIP BK</t>
  </si>
  <si>
    <t>10100000000295</t>
  </si>
  <si>
    <t>BB CHIR - CHIR</t>
  </si>
  <si>
    <t>10100000001177</t>
  </si>
  <si>
    <t>STRIP CHIR - CHIR</t>
  </si>
  <si>
    <t>10100000000376</t>
  </si>
  <si>
    <t>BSB DOUBLE</t>
  </si>
  <si>
    <t>RENCANA PRODUKSI BULAN</t>
  </si>
  <si>
    <t>RENCANA PRODUKSI HARI</t>
  </si>
  <si>
    <t>CUT UP</t>
  </si>
  <si>
    <t>WHOLE CHICKEN</t>
  </si>
  <si>
    <t>BONELESS</t>
  </si>
  <si>
    <t>GRAND TOTAL</t>
  </si>
  <si>
    <t>DIFF</t>
  </si>
  <si>
    <t>UNIFORMITY BONELESS</t>
  </si>
  <si>
    <t>BSL</t>
  </si>
  <si>
    <t>HASIL PRODUKSI</t>
  </si>
  <si>
    <t>KEBUTUHAN</t>
  </si>
  <si>
    <t>PRIORITAS</t>
  </si>
  <si>
    <t>SAYAP</t>
  </si>
  <si>
    <t>PARTING</t>
  </si>
  <si>
    <t>DADA</t>
  </si>
  <si>
    <t>PAHA UTUH</t>
  </si>
  <si>
    <t>PUNGGUNG</t>
  </si>
  <si>
    <t>STOK AKHIR BULAN</t>
  </si>
  <si>
    <t>KELOMPOK PRODUK</t>
  </si>
  <si>
    <t xml:space="preserve">Rencana import </t>
  </si>
  <si>
    <t>Unit</t>
  </si>
  <si>
    <t>Impor</t>
  </si>
  <si>
    <t>Ekspor</t>
  </si>
  <si>
    <t>MASTER BAHAN BAKU</t>
  </si>
  <si>
    <t>MASTER UNIFORMITY</t>
  </si>
  <si>
    <t>KAPASITAS TRUK</t>
  </si>
  <si>
    <t>LEVEL STOK</t>
  </si>
  <si>
    <t>UNIFORMITY MED</t>
  </si>
  <si>
    <t>UNIFORMITY KECIL</t>
  </si>
  <si>
    <t>TOTAL KEBUTUHAN</t>
  </si>
  <si>
    <t>KEBUTUHAN TRUK</t>
  </si>
  <si>
    <t>UKURAN PO</t>
  </si>
  <si>
    <t>EKSTERNAL</t>
  </si>
  <si>
    <t>TERIMA</t>
  </si>
  <si>
    <t>KIRIM</t>
  </si>
  <si>
    <t>PENERIMAAN DAGING AYAM</t>
  </si>
  <si>
    <t>KEBUTUHAN KARKAS</t>
  </si>
  <si>
    <t>KEBUTUHAN EKOR</t>
  </si>
  <si>
    <t>YIELD BONELES</t>
  </si>
  <si>
    <t>KEBUTUHAN BAHAN</t>
  </si>
  <si>
    <t>HASIL MEDIUM</t>
  </si>
  <si>
    <t>HASIL KECIL</t>
  </si>
  <si>
    <t>HASIL BESAR</t>
  </si>
  <si>
    <t>10100000000513</t>
  </si>
  <si>
    <t>CUT UP 10 D FRESTO</t>
  </si>
  <si>
    <t>10100000000522</t>
  </si>
  <si>
    <t>CUT UP 10 GIANT</t>
  </si>
  <si>
    <t>10100000000541</t>
  </si>
  <si>
    <t>CUT UP 12</t>
  </si>
  <si>
    <t>10100000000613</t>
  </si>
  <si>
    <t>CUT UP 4 GEPUK</t>
  </si>
  <si>
    <t>10100000000625</t>
  </si>
  <si>
    <t>CUT UP 5 PCP</t>
  </si>
  <si>
    <t>10100000000678</t>
  </si>
  <si>
    <t>CUT UP 9 A&amp;W</t>
  </si>
  <si>
    <t>10100000000681</t>
  </si>
  <si>
    <t>CUT UP 9 ALL BAIK</t>
  </si>
  <si>
    <t>10100000000692</t>
  </si>
  <si>
    <t>CUT UP 9 CANDY</t>
  </si>
  <si>
    <t>10100000000697</t>
  </si>
  <si>
    <t>CUT UP 9 CHICKEN DAY</t>
  </si>
  <si>
    <t>10100000000715</t>
  </si>
  <si>
    <t>CUT UP 9 GOLDEN HEN</t>
  </si>
  <si>
    <t>10100000000723</t>
  </si>
  <si>
    <t>CUT UP 9 HISANA</t>
  </si>
  <si>
    <t>10100000000736</t>
  </si>
  <si>
    <t>CUT UP 9 LAZIZA</t>
  </si>
  <si>
    <t>10100000000741</t>
  </si>
  <si>
    <t>CUT UP 9 MAESTRO</t>
  </si>
  <si>
    <t>10100000000743</t>
  </si>
  <si>
    <t>CUT UP 9 MASTER</t>
  </si>
  <si>
    <t>10100000000758</t>
  </si>
  <si>
    <t>CUT UP 9 RAMAYANA</t>
  </si>
  <si>
    <t>10100000000761</t>
  </si>
  <si>
    <t>CUT UP 9 RICH FC</t>
  </si>
  <si>
    <t>10100000000776</t>
  </si>
  <si>
    <t>CUT UP 9 SUPER CHICKEN</t>
  </si>
  <si>
    <t>10100000000788</t>
  </si>
  <si>
    <t>CUT UP ABOB</t>
  </si>
  <si>
    <t>10100000000800</t>
  </si>
  <si>
    <t>CUT UP NON ABOB</t>
  </si>
  <si>
    <t>10100000001437</t>
  </si>
  <si>
    <t>CUT UP 9 ARDI FC</t>
  </si>
  <si>
    <t>RENCANA POTONG UNIT LAMPUNG</t>
  </si>
  <si>
    <t>LAMPUNG</t>
  </si>
  <si>
    <t>10100000000523</t>
  </si>
  <si>
    <t>CUT UP 10 GOLDCHICK</t>
  </si>
  <si>
    <t>10100000000567</t>
  </si>
  <si>
    <t>CUT UP 14 CAS</t>
  </si>
  <si>
    <t>10100000000576</t>
  </si>
  <si>
    <t>CUT UP 16 SOLARIA</t>
  </si>
  <si>
    <t>10100000000605</t>
  </si>
  <si>
    <t>CUT UP 4 ( 0.7 - 0.8 )</t>
  </si>
  <si>
    <t>10100000000674</t>
  </si>
  <si>
    <t>CUT UP 9 ( 1.0 - 1.1 ) BFC</t>
  </si>
  <si>
    <t>10100000000742</t>
  </si>
  <si>
    <t>CUT UP 9 MARRY BROWN</t>
  </si>
  <si>
    <t>10100000001732</t>
  </si>
  <si>
    <t>CUT UP 10 KAF CHICKEN</t>
  </si>
  <si>
    <t>10100000001734</t>
  </si>
  <si>
    <t>CUT UP 14 ALLBAIK</t>
  </si>
  <si>
    <t>10100000001735</t>
  </si>
  <si>
    <t>CUT UP 9 HARINA ( 1.0 - 1.1 )</t>
  </si>
  <si>
    <t>10100000001737</t>
  </si>
  <si>
    <t>CUT UP 9 HENIYATI ( 1.0 )</t>
  </si>
  <si>
    <t>10100000001738</t>
  </si>
  <si>
    <t>CUT UP 10 AYAM FOREVER</t>
  </si>
  <si>
    <t>10100000001741</t>
  </si>
  <si>
    <t>CUT UP 9 AZIZ FC</t>
  </si>
  <si>
    <t>10100000001742</t>
  </si>
  <si>
    <t>CUT UP 9 BANG JAGO</t>
  </si>
  <si>
    <t>10100000001744</t>
  </si>
  <si>
    <t>CUT UP 9 F2C</t>
  </si>
  <si>
    <t>10100000001745</t>
  </si>
  <si>
    <t>CUT UP 9 D'MASTER</t>
  </si>
  <si>
    <t>10100000001748</t>
  </si>
  <si>
    <t>CUT UP 10 D'MASTER ( 0.8 )</t>
  </si>
  <si>
    <t>10100000001752</t>
  </si>
  <si>
    <t>CUT UP 10 JUNO FC ( 0.8 )</t>
  </si>
  <si>
    <t>10100000001753</t>
  </si>
  <si>
    <t>CUT UP 10 JUNO FC</t>
  </si>
  <si>
    <t>10100000001755</t>
  </si>
  <si>
    <t>CUT UP 9 ALMANAN</t>
  </si>
  <si>
    <t>10100000001756</t>
  </si>
  <si>
    <t>CUT UP 9 AKSANA FC</t>
  </si>
  <si>
    <t>10100000001757</t>
  </si>
  <si>
    <t>CUT UP 10 ROSNAWATI</t>
  </si>
  <si>
    <t>10100000001758</t>
  </si>
  <si>
    <t>CUT UP 9 ROSNAWATI</t>
  </si>
  <si>
    <t>10100000001760</t>
  </si>
  <si>
    <t>CUT UP 9 BPK. TEDY</t>
  </si>
  <si>
    <t>10100000001761</t>
  </si>
  <si>
    <t>CUT UP 9 BERKAH FC</t>
  </si>
  <si>
    <t>10100000001762</t>
  </si>
  <si>
    <t>CUT UP 9 ARA FC</t>
  </si>
  <si>
    <t>10100000001766</t>
  </si>
  <si>
    <t>CUT UP 9 RANISA</t>
  </si>
  <si>
    <t>10100000001799</t>
  </si>
  <si>
    <t>CUT UP 9 LMP</t>
  </si>
  <si>
    <t>10100000001801</t>
  </si>
  <si>
    <t>CUT UP 9 D'TOP</t>
  </si>
  <si>
    <t>10100000000018</t>
  </si>
  <si>
    <t>AU # SAYAP</t>
  </si>
  <si>
    <t>10100000000081</t>
  </si>
  <si>
    <t>AU ( 0.8 - 0.9 ) LENGKAP</t>
  </si>
  <si>
    <t>AU ( 0.9 - 1.0 )</t>
  </si>
  <si>
    <t>10100000000187</t>
  </si>
  <si>
    <t>AU ( 1.4 - 1.5 )</t>
  </si>
  <si>
    <t>10100000000190</t>
  </si>
  <si>
    <t>10100000000204</t>
  </si>
  <si>
    <t>AU ( 1.5 - 1.6 )</t>
  </si>
  <si>
    <t>10100000001527</t>
  </si>
  <si>
    <t>AU ( &gt; 2.0 )</t>
  </si>
  <si>
    <t>10100000000291</t>
  </si>
  <si>
    <t>BB</t>
  </si>
  <si>
    <t>10100000000304</t>
  </si>
  <si>
    <t>BL</t>
  </si>
  <si>
    <t>10100000000326</t>
  </si>
  <si>
    <t>BL BK</t>
  </si>
  <si>
    <t>10100000000330</t>
  </si>
  <si>
    <t>BL CHIR - CHIR</t>
  </si>
  <si>
    <t>10100000000364</t>
  </si>
  <si>
    <t>BSB 1000 GR</t>
  </si>
  <si>
    <t>10100000000392</t>
  </si>
  <si>
    <t>BSB SLICE</t>
  </si>
  <si>
    <t>10100000000395</t>
  </si>
  <si>
    <t>10100000000405</t>
  </si>
  <si>
    <t>BSL 1000 GR</t>
  </si>
  <si>
    <t>10100000000471</t>
  </si>
  <si>
    <t>CINCANG CAMPUR</t>
  </si>
  <si>
    <t>10100000000484</t>
  </si>
  <si>
    <t>CINCANG SUPER</t>
  </si>
  <si>
    <t>10100000000855</t>
  </si>
  <si>
    <t>FILLET</t>
  </si>
  <si>
    <t>10100000001202</t>
  </si>
  <si>
    <t>TULIP</t>
  </si>
  <si>
    <t>10100000001358</t>
  </si>
  <si>
    <t>BSL SLICE</t>
  </si>
  <si>
    <t>10100000000955</t>
  </si>
  <si>
    <t>MIDDLE WING</t>
  </si>
  <si>
    <t>10100000000981</t>
  </si>
  <si>
    <t>PAHA ATAS</t>
  </si>
  <si>
    <t>10100000000987</t>
  </si>
  <si>
    <t>PAHA BAWAH</t>
  </si>
  <si>
    <t>10100000001006</t>
  </si>
  <si>
    <t>10100000001025</t>
  </si>
  <si>
    <t>SAYAP 2000 GR</t>
  </si>
  <si>
    <t>10100000001033</t>
  </si>
  <si>
    <t>SAYAP CHIR - CHIR</t>
  </si>
  <si>
    <t>10100000001221</t>
  </si>
  <si>
    <t>WING STICK</t>
  </si>
  <si>
    <t>PAHA UTUH CHANDRA</t>
  </si>
  <si>
    <t>10100000001773</t>
  </si>
  <si>
    <t>SAYAP 500 GR</t>
  </si>
  <si>
    <t>10100000001774</t>
  </si>
  <si>
    <t>PAHA UTUH 500 GR</t>
  </si>
  <si>
    <t>10100000001775</t>
  </si>
  <si>
    <t>PAHA ATAS 500 GR</t>
  </si>
  <si>
    <t>10100000001791</t>
  </si>
  <si>
    <t>PAHA BAWAH 500 GR</t>
  </si>
  <si>
    <t>10100000000925</t>
  </si>
  <si>
    <t>KULIT</t>
  </si>
  <si>
    <t>10100000000928</t>
  </si>
  <si>
    <t>KULIT BB</t>
  </si>
  <si>
    <t>KULIT OPP</t>
  </si>
  <si>
    <t>10100000000939</t>
  </si>
  <si>
    <t>KULIT RICHEESE</t>
  </si>
  <si>
    <t>10100000001185</t>
  </si>
  <si>
    <t>TULANG DADA</t>
  </si>
  <si>
    <t>10100000001797</t>
  </si>
  <si>
    <t>KULIT 500 GR</t>
  </si>
  <si>
    <t>10100000000812</t>
  </si>
  <si>
    <t>CINCANG</t>
  </si>
  <si>
    <t>KETERANGAN</t>
  </si>
  <si>
    <t>TAHAP 1</t>
  </si>
  <si>
    <t>TAHAP 2</t>
  </si>
  <si>
    <t>TULANG PAHA</t>
  </si>
  <si>
    <t>TAHAP 3</t>
  </si>
  <si>
    <t>TAHAP 4</t>
  </si>
  <si>
    <t>YIELD</t>
  </si>
  <si>
    <t>SET</t>
  </si>
  <si>
    <t>MAPPING BONELESS</t>
  </si>
  <si>
    <t>16 - 17</t>
  </si>
  <si>
    <t>NAMA BARANG</t>
  </si>
  <si>
    <t>HITUNG</t>
  </si>
  <si>
    <t xml:space="preserve">PAHA UTUH </t>
  </si>
  <si>
    <t>SAYAP UTUH</t>
  </si>
  <si>
    <t>BB CHIR</t>
  </si>
  <si>
    <t>LEMAK</t>
  </si>
  <si>
    <t>EKSES</t>
  </si>
  <si>
    <t>TOTAL STOK EKSES DAN AKHIR</t>
  </si>
  <si>
    <t>1.0 - 1.2</t>
  </si>
  <si>
    <t>10100000001770</t>
  </si>
  <si>
    <t>JOGJA</t>
  </si>
  <si>
    <t>medan</t>
  </si>
  <si>
    <t>1.5 - 1.7</t>
  </si>
  <si>
    <t>SEPTEMBER 2023</t>
  </si>
  <si>
    <t>ESTIMASI STOK 31 AGUSTUS</t>
  </si>
  <si>
    <t>CUTING</t>
  </si>
  <si>
    <t>AU</t>
  </si>
  <si>
    <t>2.2 – 2.6</t>
  </si>
  <si>
    <t>KEBUTUHAN TRUK ISI MANUAL</t>
  </si>
  <si>
    <t>KEY</t>
  </si>
  <si>
    <t>BW</t>
  </si>
  <si>
    <t>UNIFORMITY</t>
  </si>
  <si>
    <t>KEY2</t>
  </si>
  <si>
    <t>2.4 – 2.8</t>
  </si>
  <si>
    <t>RENCANA POTONG UNIT KRIAN</t>
  </si>
  <si>
    <t>KRIAN</t>
  </si>
  <si>
    <t>10100000000488</t>
  </si>
  <si>
    <t>CUT UP ( 100 - 110 ) GEPREK</t>
  </si>
  <si>
    <t>10100000000491</t>
  </si>
  <si>
    <t>CUT UP ( 40 - 60 GR )</t>
  </si>
  <si>
    <t>10100000000492</t>
  </si>
  <si>
    <t>CUT UP ( 45 - 55 ) FP</t>
  </si>
  <si>
    <t>10100000000507</t>
  </si>
  <si>
    <t>CUT UP 10 BIC</t>
  </si>
  <si>
    <t>10100000000510</t>
  </si>
  <si>
    <t>CUT UP 10 CJ</t>
  </si>
  <si>
    <t>10100000000531</t>
  </si>
  <si>
    <t>CUT UP 10 MR SUPREK</t>
  </si>
  <si>
    <t>10100000000560</t>
  </si>
  <si>
    <t>CUT UP 14</t>
  </si>
  <si>
    <t>10100000000572</t>
  </si>
  <si>
    <t>CUT UP 16</t>
  </si>
  <si>
    <t>10100000000626</t>
  </si>
  <si>
    <t>CUT UP 5 REGULER</t>
  </si>
  <si>
    <t>10100000000640</t>
  </si>
  <si>
    <t>CUT UP 8</t>
  </si>
  <si>
    <t>10100000000651</t>
  </si>
  <si>
    <t>CUT UP 8 CBEST</t>
  </si>
  <si>
    <t>10100000000663</t>
  </si>
  <si>
    <t>CUT UP 8 TEXAS</t>
  </si>
  <si>
    <t>10100000000671</t>
  </si>
  <si>
    <t>CUT UP 9 # SAYAP</t>
  </si>
  <si>
    <t>10100000000682</t>
  </si>
  <si>
    <t>CUT UP 9 ARAIHAN</t>
  </si>
  <si>
    <t>10100000000705</t>
  </si>
  <si>
    <t>CUT UP 9 DEEP CHICKEN</t>
  </si>
  <si>
    <t>10100000000734</t>
  </si>
  <si>
    <t>CUT UP 9 LALA</t>
  </si>
  <si>
    <t>10100000000740</t>
  </si>
  <si>
    <t>CUT UP 9 M2M</t>
  </si>
  <si>
    <t>10100000000745</t>
  </si>
  <si>
    <t>CUT UP 9 MJ</t>
  </si>
  <si>
    <t>10100000000747</t>
  </si>
  <si>
    <t>CUT UP 9 MY CHICKEN</t>
  </si>
  <si>
    <t>10100000001423</t>
  </si>
  <si>
    <t>CUT UP 18 ( 100 GR )</t>
  </si>
  <si>
    <t>10100000001781</t>
  </si>
  <si>
    <t>CUT UP 9 H DC</t>
  </si>
  <si>
    <t>10100000001782</t>
  </si>
  <si>
    <t>CUT UP 9 R DC</t>
  </si>
  <si>
    <t>10100000001802</t>
  </si>
  <si>
    <t>CUT UP 10 BK ( N )</t>
  </si>
  <si>
    <t>10100000001904</t>
  </si>
  <si>
    <t>CUT UP 10 GD</t>
  </si>
  <si>
    <t>10100000000043</t>
  </si>
  <si>
    <t>AU ( 0.5 - 0.6 ) GRADE</t>
  </si>
  <si>
    <t>10100000000052</t>
  </si>
  <si>
    <t>AU ( 0.6 - 0.7 ) CHIO CHICKEN</t>
  </si>
  <si>
    <t>10100000000054</t>
  </si>
  <si>
    <t>AU ( 0.6 - 0.7 ) GRADE</t>
  </si>
  <si>
    <t>10100000000055</t>
  </si>
  <si>
    <t>AU ( 0.6 - 0.7 ) LENGKAP</t>
  </si>
  <si>
    <t>10100000000063</t>
  </si>
  <si>
    <t>AU ( 0.7 - 0.8 ) CHIO CHICKEN</t>
  </si>
  <si>
    <t>10100000000065</t>
  </si>
  <si>
    <t>AU ( 0.7 - 0.8 ) GRADE</t>
  </si>
  <si>
    <t>10100000000078</t>
  </si>
  <si>
    <t>AU ( 0.8 - 0.9 ) CHIO CHICKEN</t>
  </si>
  <si>
    <t>10100000000080</t>
  </si>
  <si>
    <t>AU ( 0.8 - 0.9 ) GRADE</t>
  </si>
  <si>
    <t>10100000000092</t>
  </si>
  <si>
    <t>AU ( 0.9 - 1.0 ) CHIO CHICKEN</t>
  </si>
  <si>
    <t>10100000000094</t>
  </si>
  <si>
    <t>AU ( 0.9 - 1.0 ) GRADE</t>
  </si>
  <si>
    <t>10100000000110</t>
  </si>
  <si>
    <t>AU ( 1.0 - 1.1 ) CHIO CHICKEN</t>
  </si>
  <si>
    <t>10100000000112</t>
  </si>
  <si>
    <t>AU ( 1.0 - 1.1 ) GRADE</t>
  </si>
  <si>
    <t>10100000000130</t>
  </si>
  <si>
    <t>AU ( 1.1 - 1.2 ) CHIO CHICKEN</t>
  </si>
  <si>
    <t>10100000000132</t>
  </si>
  <si>
    <t>AU ( 1.1 - 1.2 ) GRADE</t>
  </si>
  <si>
    <t>10100000000149</t>
  </si>
  <si>
    <t>AU ( 1.2 - 1.3 ) CHIO CHICKEN</t>
  </si>
  <si>
    <t>10100000000151</t>
  </si>
  <si>
    <t>AU ( 1.2 - 1.3 ) GRADE</t>
  </si>
  <si>
    <t>10100000000171</t>
  </si>
  <si>
    <t>AU ( 1.3 - 1.4 ) GRADE</t>
  </si>
  <si>
    <t>10100000000222</t>
  </si>
  <si>
    <t>AU ( 1.6 - 1.7 ) CHIO CHICKEN</t>
  </si>
  <si>
    <t>10100000001528</t>
  </si>
  <si>
    <t>AU ( 1.7 - 1.8 ) CHIO CHICKEN</t>
  </si>
  <si>
    <t>10100000001529</t>
  </si>
  <si>
    <t>AU ( 1.8 - 1.9 ) CHIO CHICKEN</t>
  </si>
  <si>
    <t>10100000001530</t>
  </si>
  <si>
    <t>AU ( 1.9 - 2.0 ) CHIO CHICKEN</t>
  </si>
  <si>
    <t>10100000001531</t>
  </si>
  <si>
    <t>AU ( &gt; 2.0 ) CHIO CHICKEN</t>
  </si>
  <si>
    <t>10100000000302</t>
  </si>
  <si>
    <t>BB SKIN CGF</t>
  </si>
  <si>
    <t>10100000000315</t>
  </si>
  <si>
    <t>BL ( 50 - 55 )</t>
  </si>
  <si>
    <t>10100000000333</t>
  </si>
  <si>
    <t>BL G</t>
  </si>
  <si>
    <t>10100000000335</t>
  </si>
  <si>
    <t>BL KARISMA</t>
  </si>
  <si>
    <t>10100000000340</t>
  </si>
  <si>
    <t>BL RICHEESE</t>
  </si>
  <si>
    <t>10100000000346</t>
  </si>
  <si>
    <t>BL THIGH ( 70 - 80 )</t>
  </si>
  <si>
    <t>10100000000460</t>
  </si>
  <si>
    <t>CHICKEN STRIP WENDYS</t>
  </si>
  <si>
    <t>10100000000461</t>
  </si>
  <si>
    <t>CHICKEN TENDER</t>
  </si>
  <si>
    <t>10100000000462</t>
  </si>
  <si>
    <t>CHICKEN TENDER CJ</t>
  </si>
  <si>
    <t>10100000000476</t>
  </si>
  <si>
    <t>CINCANG DADA</t>
  </si>
  <si>
    <t>10100000000479</t>
  </si>
  <si>
    <t>CINCANG PAHA</t>
  </si>
  <si>
    <t>10100000001064</t>
  </si>
  <si>
    <t>SBB WHOLE</t>
  </si>
  <si>
    <t>10100000001065</t>
  </si>
  <si>
    <t>SBL THIGH MEAT WENDYS</t>
  </si>
  <si>
    <t>10100000001066</t>
  </si>
  <si>
    <t>SBL WHOLE</t>
  </si>
  <si>
    <t>10100000001355</t>
  </si>
  <si>
    <t>BSB ICHIBAN</t>
  </si>
  <si>
    <t>10100000001532</t>
  </si>
  <si>
    <t>BSL THIGH ( 50 - 60 GR ) TEXAS</t>
  </si>
  <si>
    <t>10100000001615</t>
  </si>
  <si>
    <t>BL THIGH ( 40 - 60 )</t>
  </si>
  <si>
    <t>10100000001787</t>
  </si>
  <si>
    <t>BSB SOLARIA</t>
  </si>
  <si>
    <t>10100000001788</t>
  </si>
  <si>
    <t>BSL SOLARIA</t>
  </si>
  <si>
    <t>10100000001789</t>
  </si>
  <si>
    <t>BL ICHIBAN</t>
  </si>
  <si>
    <t>10100000000467</t>
  </si>
  <si>
    <t>CHICKEN WING + WING TIP RICHEESE</t>
  </si>
  <si>
    <t>10100000000822</t>
  </si>
  <si>
    <t>DADA ZEST CHICKEN</t>
  </si>
  <si>
    <t>10100000001000</t>
  </si>
  <si>
    <t>PAHA BAWAH REJECT</t>
  </si>
  <si>
    <t>10100000001002</t>
  </si>
  <si>
    <t>PAHA BAWAH ROCKET</t>
  </si>
  <si>
    <t>10100000001003</t>
  </si>
  <si>
    <t>PAHA BAWAH TEXAS</t>
  </si>
  <si>
    <t>10100000001037</t>
  </si>
  <si>
    <t>SAYAP FP</t>
  </si>
  <si>
    <t>10100000001058</t>
  </si>
  <si>
    <t>SAYAP ROCKET</t>
  </si>
  <si>
    <t>10100000001059</t>
  </si>
  <si>
    <t>10100000001061</t>
  </si>
  <si>
    <t>SAYAP ZEST CHICKEN</t>
  </si>
  <si>
    <t>10100000001910</t>
  </si>
  <si>
    <t>CUT UP 20 PCP</t>
  </si>
  <si>
    <t>10100000001928</t>
  </si>
  <si>
    <t>CUT UP 10 ( 1.4 - 1.5 ) CBEST</t>
  </si>
  <si>
    <t>10100000000502</t>
  </si>
  <si>
    <t>CUT UP 10 ( 1.3 - 1.4 ) CBEST</t>
  </si>
  <si>
    <t>10100000000508</t>
  </si>
  <si>
    <t>CUT UP 10 CBEST</t>
  </si>
  <si>
    <t>10100000000562</t>
  </si>
  <si>
    <t>CUT UP 14 ARAIHAN</t>
  </si>
  <si>
    <t>10100000000592</t>
  </si>
  <si>
    <t>CUT UP 20 GR</t>
  </si>
  <si>
    <t>10100000000808</t>
  </si>
  <si>
    <t>CUT UP WENDYS</t>
  </si>
  <si>
    <t xml:space="preserve">Forecast Produksi </t>
  </si>
  <si>
    <t>RPA Krian</t>
  </si>
  <si>
    <t>Produksi Level 1</t>
  </si>
  <si>
    <t>LB</t>
  </si>
  <si>
    <t>Jumlah Truk</t>
  </si>
  <si>
    <t>Jumlah Ekor</t>
  </si>
  <si>
    <t>Susut LB</t>
  </si>
  <si>
    <t>Bahan</t>
  </si>
  <si>
    <t>Hasil Karkas</t>
  </si>
  <si>
    <t>Hasil By Produk</t>
  </si>
  <si>
    <t>Hasil Dept Karkas</t>
  </si>
  <si>
    <t>Truk/ Hari</t>
  </si>
  <si>
    <t>Truk/ Bulan</t>
  </si>
  <si>
    <t>Ekor/ Bulan</t>
  </si>
  <si>
    <t>Ekor/Bulan</t>
  </si>
  <si>
    <t>Kg/Bulan</t>
  </si>
  <si>
    <t>Kecil</t>
  </si>
  <si>
    <t>Medium</t>
  </si>
  <si>
    <t>Besar</t>
  </si>
  <si>
    <t>Produksi Level 2</t>
  </si>
  <si>
    <t>Dept</t>
  </si>
  <si>
    <t>Hasil</t>
  </si>
  <si>
    <t>Sisa / Ekses Potong</t>
  </si>
  <si>
    <t>Total  Produksi Baru</t>
  </si>
  <si>
    <t>Reproduksi</t>
  </si>
  <si>
    <t>Total Produksi</t>
  </si>
  <si>
    <t>%</t>
  </si>
  <si>
    <t>Whole Chicken</t>
  </si>
  <si>
    <t>Cut Up</t>
  </si>
  <si>
    <t>Parting</t>
  </si>
  <si>
    <t>Boneless</t>
  </si>
  <si>
    <t>Minced/MDM</t>
  </si>
  <si>
    <t>SIDE PRODUCT</t>
  </si>
  <si>
    <t>Waste Ayam Baru</t>
  </si>
  <si>
    <t>Dibuat</t>
  </si>
  <si>
    <t>Mengetahui</t>
  </si>
  <si>
    <t>Menyetujui</t>
  </si>
  <si>
    <t>Emil Sani A</t>
  </si>
  <si>
    <t>Sheila N</t>
  </si>
  <si>
    <t>Andri N L</t>
  </si>
  <si>
    <t>Rudy Alfian N M</t>
  </si>
  <si>
    <t>PPIC Unit</t>
  </si>
  <si>
    <t>Marketing Unit</t>
  </si>
  <si>
    <t>F&amp;A Unit</t>
  </si>
  <si>
    <t>HoU</t>
  </si>
  <si>
    <t>10100000000436</t>
  </si>
  <si>
    <t>CATLET CAS</t>
  </si>
  <si>
    <t>ESTIMASI STOK 21 Oktober 2023</t>
  </si>
  <si>
    <t>10100000000701</t>
  </si>
  <si>
    <t>CUT UP 9 COB OR # SAYAP</t>
  </si>
  <si>
    <t>Januari 2024</t>
  </si>
  <si>
    <t>10100000001926</t>
  </si>
  <si>
    <t>BL THIGH ( 40 - 50 )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</si>
</sst>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[$-F800]dddd\,\ mmmm\ dd\,\ yyyy"/>
    <numFmt numFmtId="167" formatCode="0.0"/>
    <numFmt numFmtId="168" formatCode="0.0%"/>
    <numFmt numFmtId="169" formatCode="_(* #,##0.0_);_(* \(#,##0.0\);_(* &quot;-&quot;_);_(@_)"/>
    <numFmt numFmtId="170" formatCode="_(* #,##0.00_);_(* \(#,##0.00\);_(* &quot;-&quot;_);_(@_)"/>
    <numFmt numFmtId="171" formatCode="_(* #,##0_);_(* \(#,##0\);_(* &quot;-&quot;??_);_(@_)"/>
    <numFmt numFmtId="172" formatCode="_-* #,##0_-;\-* #,##0_-;_-* &quot;-&quot;??_-;_-@_-"/>
    <numFmt numFmtId="173" formatCode="_(* #,##0.0_);_(* \(#,##0.0\);_(* &quot;-&quot;??_);_(@_)"/>
    <numFmt numFmtId="174" formatCode="_(* #,##0.0000_);_(* \(#,##0.0000\);_(* &quot;-&quot;_);_(@_)"/>
    <numFmt numFmtId="175" formatCode="_(* #,##0.000_);_(* \(#,##0.000\);_(* &quot;-&quot;??_);_(@_)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9"/>
      <color theme="1"/>
      <name val="Tahoma"/>
      <family val="2"/>
    </font>
    <font>
      <sz val="9"/>
      <name val="Tahoma"/>
      <family val="2"/>
    </font>
    <font>
      <sz val="11"/>
      <color indexed="8"/>
      <name val="Calibri"/>
      <family val="2"/>
      <charset val="1"/>
    </font>
    <font>
      <b/>
      <sz val="9"/>
      <color theme="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Tahoma"/>
      <family val="2"/>
    </font>
    <font>
      <sz val="10"/>
      <name val="Mang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/>
      <name val="Calibri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9" fillId="0" borderId="0"/>
    <xf numFmtId="43" fontId="9" fillId="0" borderId="0" applyFill="0" applyBorder="0" applyAlignment="0" applyProtection="0"/>
    <xf numFmtId="9" fontId="11" fillId="0" borderId="0" applyFill="0" applyBorder="0" applyAlignment="0" applyProtection="0"/>
    <xf numFmtId="41" fontId="9" fillId="0" borderId="0" applyFill="0" applyBorder="0" applyAlignment="0" applyProtection="0"/>
  </cellStyleXfs>
  <cellXfs count="255">
    <xf numFmtId="0" fontId="0" fillId="0" borderId="0" xfId="0"/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6" fontId="4" fillId="0" borderId="0" xfId="0" applyNumberFormat="1" applyFont="1" applyBorder="1" applyAlignment="1">
      <alignment horizontal="left" vertical="center"/>
    </xf>
    <xf numFmtId="167" fontId="7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horizontal="center" vertical="center"/>
    </xf>
    <xf numFmtId="10" fontId="7" fillId="0" borderId="0" xfId="3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9" fontId="0" fillId="0" borderId="0" xfId="0" applyNumberFormat="1"/>
    <xf numFmtId="0" fontId="9" fillId="0" borderId="0" xfId="5"/>
    <xf numFmtId="0" fontId="8" fillId="0" borderId="0" xfId="5" applyFont="1"/>
    <xf numFmtId="171" fontId="8" fillId="0" borderId="0" xfId="6" applyNumberFormat="1" applyFont="1"/>
    <xf numFmtId="0" fontId="8" fillId="0" borderId="0" xfId="5" applyFont="1" applyAlignment="1">
      <alignment horizontal="right"/>
    </xf>
    <xf numFmtId="0" fontId="10" fillId="3" borderId="1" xfId="5" applyFont="1" applyFill="1" applyBorder="1" applyAlignment="1">
      <alignment horizontal="center" vertical="center"/>
    </xf>
    <xf numFmtId="171" fontId="10" fillId="3" borderId="1" xfId="6" applyNumberFormat="1" applyFont="1" applyFill="1" applyBorder="1" applyAlignment="1">
      <alignment horizontal="center" vertical="center"/>
    </xf>
    <xf numFmtId="0" fontId="7" fillId="0" borderId="1" xfId="5" applyFont="1" applyBorder="1" applyAlignment="1">
      <alignment horizontal="right"/>
    </xf>
    <xf numFmtId="14" fontId="5" fillId="3" borderId="1" xfId="5" applyNumberFormat="1" applyFont="1" applyFill="1" applyBorder="1" applyAlignment="1">
      <alignment horizontal="center" vertical="center"/>
    </xf>
    <xf numFmtId="171" fontId="5" fillId="3" borderId="1" xfId="6" applyNumberFormat="1" applyFont="1" applyFill="1" applyBorder="1" applyAlignment="1">
      <alignment horizontal="center" vertical="center"/>
    </xf>
    <xf numFmtId="9" fontId="11" fillId="3" borderId="1" xfId="7" applyFill="1" applyBorder="1" applyAlignment="1">
      <alignment horizontal="right"/>
    </xf>
    <xf numFmtId="9" fontId="11" fillId="3" borderId="1" xfId="7" applyFill="1" applyBorder="1" applyAlignment="1">
      <alignment horizontal="center" vertical="center"/>
    </xf>
    <xf numFmtId="168" fontId="4" fillId="0" borderId="1" xfId="5" applyNumberFormat="1" applyFont="1" applyBorder="1" applyAlignment="1">
      <alignment horizontal="right"/>
    </xf>
    <xf numFmtId="9" fontId="9" fillId="0" borderId="0" xfId="7" applyFont="1"/>
    <xf numFmtId="0" fontId="5" fillId="3" borderId="1" xfId="5" applyFont="1" applyFill="1" applyBorder="1" applyAlignment="1">
      <alignment horizontal="center" vertical="center"/>
    </xf>
    <xf numFmtId="0" fontId="5" fillId="4" borderId="1" xfId="5" applyFont="1" applyFill="1" applyBorder="1" applyAlignment="1">
      <alignment horizontal="center" vertical="center"/>
    </xf>
    <xf numFmtId="14" fontId="5" fillId="4" borderId="1" xfId="5" applyNumberFormat="1" applyFont="1" applyFill="1" applyBorder="1" applyAlignment="1">
      <alignment horizontal="center" vertical="center"/>
    </xf>
    <xf numFmtId="165" fontId="9" fillId="0" borderId="0" xfId="1" applyFont="1"/>
    <xf numFmtId="0" fontId="10" fillId="3" borderId="1" xfId="5" applyFont="1" applyFill="1" applyBorder="1" applyAlignment="1">
      <alignment horizontal="left"/>
    </xf>
    <xf numFmtId="171" fontId="10" fillId="3" borderId="1" xfId="6" applyNumberFormat="1" applyFont="1" applyFill="1" applyBorder="1" applyAlignment="1">
      <alignment horizontal="left"/>
    </xf>
    <xf numFmtId="9" fontId="11" fillId="3" borderId="1" xfId="7" applyFill="1" applyBorder="1" applyAlignment="1">
      <alignment horizontal="left"/>
    </xf>
    <xf numFmtId="165" fontId="9" fillId="0" borderId="0" xfId="5" applyNumberFormat="1"/>
    <xf numFmtId="9" fontId="11" fillId="0" borderId="1" xfId="7" applyFill="1" applyBorder="1" applyAlignment="1">
      <alignment horizontal="center" vertical="center"/>
    </xf>
    <xf numFmtId="168" fontId="10" fillId="3" borderId="1" xfId="5" applyNumberFormat="1" applyFont="1" applyFill="1" applyBorder="1" applyAlignment="1">
      <alignment horizontal="right" vertical="center"/>
    </xf>
    <xf numFmtId="170" fontId="9" fillId="0" borderId="0" xfId="2" applyNumberFormat="1" applyFont="1"/>
    <xf numFmtId="165" fontId="9" fillId="0" borderId="0" xfId="1" applyNumberFormat="1" applyFont="1"/>
    <xf numFmtId="171" fontId="5" fillId="4" borderId="1" xfId="6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0" fontId="0" fillId="0" borderId="1" xfId="0" applyBorder="1"/>
    <xf numFmtId="169" fontId="0" fillId="0" borderId="1" xfId="2" applyNumberFormat="1" applyFont="1" applyBorder="1"/>
    <xf numFmtId="169" fontId="0" fillId="0" borderId="1" xfId="0" applyNumberFormat="1" applyFill="1" applyBorder="1"/>
    <xf numFmtId="167" fontId="0" fillId="0" borderId="1" xfId="0" applyNumberFormat="1" applyBorder="1"/>
    <xf numFmtId="164" fontId="0" fillId="0" borderId="1" xfId="2" applyFont="1" applyBorder="1"/>
    <xf numFmtId="167" fontId="0" fillId="2" borderId="1" xfId="0" applyNumberFormat="1" applyFill="1" applyBorder="1"/>
    <xf numFmtId="164" fontId="0" fillId="2" borderId="1" xfId="2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9" fontId="0" fillId="0" borderId="1" xfId="0" applyNumberFormat="1" applyBorder="1"/>
    <xf numFmtId="169" fontId="0" fillId="0" borderId="1" xfId="2" applyNumberFormat="1" applyFont="1" applyFill="1" applyBorder="1"/>
    <xf numFmtId="164" fontId="0" fillId="0" borderId="1" xfId="2" applyFont="1" applyFill="1" applyBorder="1"/>
    <xf numFmtId="0" fontId="8" fillId="0" borderId="1" xfId="0" applyFont="1" applyBorder="1"/>
    <xf numFmtId="0" fontId="8" fillId="2" borderId="1" xfId="0" applyFont="1" applyFill="1" applyBorder="1"/>
    <xf numFmtId="0" fontId="0" fillId="2" borderId="1" xfId="0" applyFill="1" applyBorder="1"/>
    <xf numFmtId="169" fontId="0" fillId="2" borderId="1" xfId="0" applyNumberFormat="1" applyFill="1" applyBorder="1"/>
    <xf numFmtId="169" fontId="0" fillId="2" borderId="1" xfId="2" applyNumberFormat="1" applyFont="1" applyFill="1" applyBorder="1"/>
    <xf numFmtId="0" fontId="3" fillId="2" borderId="1" xfId="0" applyFont="1" applyFill="1" applyBorder="1" applyAlignment="1">
      <alignment horizontal="center"/>
    </xf>
    <xf numFmtId="169" fontId="3" fillId="2" borderId="1" xfId="0" applyNumberFormat="1" applyFont="1" applyFill="1" applyBorder="1" applyAlignment="1">
      <alignment horizontal="center"/>
    </xf>
    <xf numFmtId="0" fontId="8" fillId="5" borderId="1" xfId="0" applyFont="1" applyFill="1" applyBorder="1"/>
    <xf numFmtId="169" fontId="8" fillId="5" borderId="1" xfId="2" applyNumberFormat="1" applyFont="1" applyFill="1" applyBorder="1"/>
    <xf numFmtId="171" fontId="0" fillId="0" borderId="1" xfId="1" applyNumberFormat="1" applyFont="1" applyBorder="1"/>
    <xf numFmtId="0" fontId="8" fillId="0" borderId="1" xfId="5" applyFont="1" applyBorder="1"/>
    <xf numFmtId="171" fontId="8" fillId="0" borderId="1" xfId="6" applyNumberFormat="1" applyFont="1" applyBorder="1"/>
    <xf numFmtId="0" fontId="8" fillId="0" borderId="1" xfId="5" applyFont="1" applyBorder="1" applyAlignment="1">
      <alignment horizontal="right"/>
    </xf>
    <xf numFmtId="172" fontId="8" fillId="0" borderId="1" xfId="1" applyNumberFormat="1" applyFont="1" applyBorder="1"/>
    <xf numFmtId="165" fontId="9" fillId="2" borderId="0" xfId="1" applyFont="1" applyFill="1"/>
    <xf numFmtId="0" fontId="5" fillId="2" borderId="1" xfId="5" applyFont="1" applyFill="1" applyBorder="1" applyAlignment="1">
      <alignment horizontal="center" vertical="center"/>
    </xf>
    <xf numFmtId="14" fontId="5" fillId="2" borderId="1" xfId="5" applyNumberFormat="1" applyFont="1" applyFill="1" applyBorder="1" applyAlignment="1">
      <alignment horizontal="center" vertical="center"/>
    </xf>
    <xf numFmtId="0" fontId="8" fillId="0" borderId="0" xfId="0" applyFont="1"/>
    <xf numFmtId="168" fontId="0" fillId="0" borderId="1" xfId="0" applyNumberFormat="1" applyBorder="1" applyAlignment="1">
      <alignment horizontal="right"/>
    </xf>
    <xf numFmtId="168" fontId="1" fillId="0" borderId="1" xfId="3" applyNumberFormat="1" applyFont="1" applyFill="1" applyBorder="1" applyAlignment="1" applyProtection="1">
      <alignment horizontal="right"/>
    </xf>
    <xf numFmtId="165" fontId="0" fillId="0" borderId="0" xfId="0" applyNumberFormat="1"/>
    <xf numFmtId="0" fontId="0" fillId="0" borderId="0" xfId="0" quotePrefix="1"/>
    <xf numFmtId="165" fontId="0" fillId="0" borderId="0" xfId="1" applyFont="1"/>
    <xf numFmtId="165" fontId="0" fillId="0" borderId="1" xfId="0" applyNumberFormat="1" applyBorder="1"/>
    <xf numFmtId="0" fontId="0" fillId="2" borderId="0" xfId="0" applyFill="1"/>
    <xf numFmtId="171" fontId="0" fillId="2" borderId="1" xfId="1" applyNumberFormat="1" applyFont="1" applyFill="1" applyBorder="1"/>
    <xf numFmtId="164" fontId="0" fillId="0" borderId="3" xfId="2" applyFont="1" applyBorder="1"/>
    <xf numFmtId="169" fontId="8" fillId="5" borderId="3" xfId="2" applyNumberFormat="1" applyFont="1" applyFill="1" applyBorder="1"/>
    <xf numFmtId="164" fontId="0" fillId="2" borderId="3" xfId="2" applyFont="1" applyFill="1" applyBorder="1"/>
    <xf numFmtId="0" fontId="0" fillId="2" borderId="3" xfId="0" applyFill="1" applyBorder="1"/>
    <xf numFmtId="0" fontId="0" fillId="0" borderId="0" xfId="0" applyFill="1"/>
    <xf numFmtId="173" fontId="0" fillId="0" borderId="1" xfId="1" applyNumberFormat="1" applyFont="1" applyFill="1" applyBorder="1"/>
    <xf numFmtId="0" fontId="0" fillId="5" borderId="1" xfId="0" applyFill="1" applyBorder="1"/>
    <xf numFmtId="169" fontId="0" fillId="5" borderId="1" xfId="0" applyNumberFormat="1" applyFill="1" applyBorder="1"/>
    <xf numFmtId="169" fontId="8" fillId="5" borderId="0" xfId="0" applyNumberFormat="1" applyFont="1" applyFill="1"/>
    <xf numFmtId="0" fontId="8" fillId="5" borderId="0" xfId="0" applyFont="1" applyFill="1"/>
    <xf numFmtId="0" fontId="8" fillId="0" borderId="1" xfId="0" applyFont="1" applyBorder="1" applyAlignment="1">
      <alignment horizontal="center" vertical="center"/>
    </xf>
    <xf numFmtId="171" fontId="10" fillId="6" borderId="1" xfId="6" applyNumberFormat="1" applyFont="1" applyFill="1" applyBorder="1" applyAlignment="1">
      <alignment horizontal="center" vertical="center"/>
    </xf>
    <xf numFmtId="0" fontId="0" fillId="0" borderId="4" xfId="0" applyBorder="1"/>
    <xf numFmtId="0" fontId="12" fillId="0" borderId="0" xfId="0" applyFont="1"/>
    <xf numFmtId="0" fontId="13" fillId="0" borderId="1" xfId="0" applyFont="1" applyBorder="1"/>
    <xf numFmtId="0" fontId="13" fillId="0" borderId="1" xfId="0" applyFont="1" applyFill="1" applyBorder="1"/>
    <xf numFmtId="9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9" fontId="0" fillId="2" borderId="1" xfId="3" applyFont="1" applyFill="1" applyBorder="1" applyAlignment="1">
      <alignment horizontal="center" vertical="center"/>
    </xf>
    <xf numFmtId="171" fontId="0" fillId="2" borderId="1" xfId="0" applyNumberForma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0" fillId="0" borderId="1" xfId="1" applyFont="1" applyBorder="1"/>
    <xf numFmtId="0" fontId="14" fillId="0" borderId="0" xfId="0" applyFont="1"/>
    <xf numFmtId="9" fontId="0" fillId="0" borderId="0" xfId="0" applyNumberFormat="1"/>
    <xf numFmtId="9" fontId="0" fillId="0" borderId="0" xfId="3" applyFont="1"/>
    <xf numFmtId="165" fontId="0" fillId="5" borderId="1" xfId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Border="1"/>
    <xf numFmtId="169" fontId="0" fillId="5" borderId="3" xfId="0" applyNumberFormat="1" applyFill="1" applyBorder="1"/>
    <xf numFmtId="9" fontId="0" fillId="0" borderId="1" xfId="3" applyFont="1" applyBorder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71" fontId="0" fillId="0" borderId="1" xfId="0" applyNumberForma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5" fontId="0" fillId="0" borderId="0" xfId="1" applyFont="1" applyBorder="1"/>
    <xf numFmtId="0" fontId="0" fillId="0" borderId="13" xfId="0" applyBorder="1"/>
    <xf numFmtId="0" fontId="8" fillId="0" borderId="0" xfId="0" applyFont="1" applyBorder="1"/>
    <xf numFmtId="0" fontId="0" fillId="0" borderId="14" xfId="0" applyBorder="1"/>
    <xf numFmtId="165" fontId="0" fillId="0" borderId="15" xfId="1" applyFont="1" applyBorder="1"/>
    <xf numFmtId="0" fontId="0" fillId="0" borderId="15" xfId="0" applyBorder="1"/>
    <xf numFmtId="0" fontId="0" fillId="0" borderId="16" xfId="0" applyBorder="1"/>
    <xf numFmtId="165" fontId="0" fillId="0" borderId="17" xfId="1" applyFont="1" applyBorder="1"/>
    <xf numFmtId="0" fontId="0" fillId="0" borderId="19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165" fontId="0" fillId="0" borderId="4" xfId="1" applyFont="1" applyBorder="1"/>
    <xf numFmtId="0" fontId="0" fillId="0" borderId="25" xfId="0" applyBorder="1"/>
    <xf numFmtId="0" fontId="0" fillId="0" borderId="26" xfId="0" applyBorder="1"/>
    <xf numFmtId="165" fontId="0" fillId="0" borderId="27" xfId="1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3" xfId="0" applyBorder="1"/>
    <xf numFmtId="165" fontId="0" fillId="0" borderId="7" xfId="1" applyFont="1" applyBorder="1"/>
    <xf numFmtId="0" fontId="0" fillId="0" borderId="34" xfId="0" applyBorder="1"/>
    <xf numFmtId="0" fontId="0" fillId="0" borderId="36" xfId="0" applyBorder="1"/>
    <xf numFmtId="0" fontId="0" fillId="0" borderId="38" xfId="0" applyBorder="1"/>
    <xf numFmtId="0" fontId="0" fillId="0" borderId="3" xfId="0" applyBorder="1"/>
    <xf numFmtId="0" fontId="0" fillId="0" borderId="40" xfId="0" applyBorder="1"/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165" fontId="0" fillId="0" borderId="8" xfId="1" applyFont="1" applyBorder="1"/>
    <xf numFmtId="0" fontId="0" fillId="0" borderId="41" xfId="0" applyBorder="1"/>
    <xf numFmtId="0" fontId="0" fillId="0" borderId="42" xfId="0" applyBorder="1"/>
    <xf numFmtId="165" fontId="0" fillId="0" borderId="37" xfId="1" applyFont="1" applyBorder="1"/>
    <xf numFmtId="9" fontId="0" fillId="0" borderId="17" xfId="3" applyFont="1" applyBorder="1"/>
    <xf numFmtId="9" fontId="0" fillId="0" borderId="20" xfId="3" applyFont="1" applyBorder="1"/>
    <xf numFmtId="9" fontId="0" fillId="0" borderId="4" xfId="3" applyFont="1" applyBorder="1"/>
    <xf numFmtId="9" fontId="0" fillId="0" borderId="37" xfId="3" applyFont="1" applyBorder="1"/>
    <xf numFmtId="168" fontId="0" fillId="0" borderId="0" xfId="0" applyNumberFormat="1"/>
    <xf numFmtId="9" fontId="0" fillId="0" borderId="43" xfId="3" applyFont="1" applyBorder="1"/>
    <xf numFmtId="0" fontId="0" fillId="0" borderId="44" xfId="0" applyBorder="1"/>
    <xf numFmtId="9" fontId="0" fillId="0" borderId="2" xfId="3" applyFont="1" applyBorder="1"/>
    <xf numFmtId="9" fontId="0" fillId="0" borderId="7" xfId="3" applyFont="1" applyBorder="1"/>
    <xf numFmtId="9" fontId="0" fillId="0" borderId="32" xfId="3" applyFont="1" applyBorder="1"/>
    <xf numFmtId="0" fontId="0" fillId="2" borderId="35" xfId="0" applyFill="1" applyBorder="1"/>
    <xf numFmtId="0" fontId="0" fillId="2" borderId="18" xfId="0" applyFill="1" applyBorder="1"/>
    <xf numFmtId="0" fontId="0" fillId="2" borderId="38" xfId="0" applyFill="1" applyBorder="1"/>
    <xf numFmtId="0" fontId="0" fillId="2" borderId="31" xfId="0" applyFill="1" applyBorder="1"/>
    <xf numFmtId="0" fontId="0" fillId="2" borderId="19" xfId="0" applyFill="1" applyBorder="1"/>
    <xf numFmtId="0" fontId="0" fillId="2" borderId="21" xfId="0" applyFill="1" applyBorder="1"/>
    <xf numFmtId="0" fontId="8" fillId="0" borderId="22" xfId="0" applyFont="1" applyBorder="1" applyAlignment="1"/>
    <xf numFmtId="0" fontId="8" fillId="0" borderId="23" xfId="0" applyFont="1" applyBorder="1" applyAlignment="1"/>
    <xf numFmtId="0" fontId="8" fillId="0" borderId="24" xfId="0" applyFont="1" applyBorder="1" applyAlignment="1"/>
    <xf numFmtId="0" fontId="8" fillId="0" borderId="9" xfId="0" applyFont="1" applyBorder="1" applyAlignment="1"/>
    <xf numFmtId="0" fontId="8" fillId="0" borderId="10" xfId="0" applyFont="1" applyBorder="1" applyAlignment="1"/>
    <xf numFmtId="0" fontId="8" fillId="0" borderId="11" xfId="0" applyFont="1" applyBorder="1" applyAlignment="1"/>
    <xf numFmtId="165" fontId="0" fillId="0" borderId="45" xfId="1" applyFont="1" applyBorder="1"/>
    <xf numFmtId="165" fontId="0" fillId="0" borderId="39" xfId="1" applyFont="1" applyBorder="1"/>
    <xf numFmtId="165" fontId="0" fillId="0" borderId="32" xfId="1" applyFont="1" applyBorder="1"/>
    <xf numFmtId="165" fontId="0" fillId="0" borderId="46" xfId="1" applyFont="1" applyBorder="1"/>
    <xf numFmtId="165" fontId="0" fillId="0" borderId="24" xfId="1" applyFont="1" applyBorder="1"/>
    <xf numFmtId="165" fontId="0" fillId="0" borderId="43" xfId="1" applyFont="1" applyBorder="1"/>
    <xf numFmtId="9" fontId="0" fillId="0" borderId="4" xfId="0" applyNumberFormat="1" applyBorder="1"/>
    <xf numFmtId="9" fontId="0" fillId="0" borderId="2" xfId="0" applyNumberFormat="1" applyBorder="1"/>
    <xf numFmtId="0" fontId="0" fillId="2" borderId="8" xfId="0" applyFill="1" applyBorder="1"/>
    <xf numFmtId="9" fontId="0" fillId="0" borderId="0" xfId="3" applyFont="1" applyBorder="1"/>
    <xf numFmtId="174" fontId="0" fillId="0" borderId="1" xfId="0" applyNumberFormat="1" applyFill="1" applyBorder="1"/>
    <xf numFmtId="175" fontId="0" fillId="0" borderId="1" xfId="1" applyNumberFormat="1" applyFont="1" applyBorder="1"/>
    <xf numFmtId="169" fontId="8" fillId="2" borderId="1" xfId="0" applyNumberFormat="1" applyFont="1" applyFill="1" applyBorder="1" applyAlignment="1">
      <alignment horizontal="center"/>
    </xf>
    <xf numFmtId="0" fontId="0" fillId="0" borderId="1" xfId="0" quotePrefix="1" applyBorder="1"/>
    <xf numFmtId="166" fontId="4" fillId="0" borderId="0" xfId="0" quotePrefix="1" applyNumberFormat="1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1" fontId="0" fillId="2" borderId="4" xfId="0" applyNumberFormat="1" applyFill="1" applyBorder="1"/>
    <xf numFmtId="171" fontId="5" fillId="3" borderId="1" xfId="1" applyNumberFormat="1" applyFont="1" applyFill="1" applyBorder="1" applyAlignment="1">
      <alignment horizontal="center" vertical="center"/>
    </xf>
    <xf numFmtId="171" fontId="0" fillId="2" borderId="4" xfId="1" applyNumberFormat="1" applyFont="1" applyFill="1" applyBorder="1"/>
    <xf numFmtId="0" fontId="8" fillId="5" borderId="1" xfId="0" applyFont="1" applyFill="1" applyBorder="1" applyAlignment="1">
      <alignment horizontal="center" vertical="center"/>
    </xf>
    <xf numFmtId="0" fontId="8" fillId="2" borderId="0" xfId="0" applyFont="1" applyFill="1" applyAlignment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171" fontId="5" fillId="3" borderId="7" xfId="6" applyNumberFormat="1" applyFont="1" applyFill="1" applyBorder="1" applyAlignment="1">
      <alignment horizontal="center" vertical="center"/>
    </xf>
    <xf numFmtId="1" fontId="17" fillId="0" borderId="48" xfId="0" applyNumberFormat="1" applyFont="1" applyBorder="1" applyAlignment="1">
      <alignment horizontal="left"/>
    </xf>
    <xf numFmtId="0" fontId="17" fillId="0" borderId="48" xfId="0" applyFont="1" applyBorder="1"/>
    <xf numFmtId="165" fontId="17" fillId="0" borderId="48" xfId="0" applyNumberFormat="1" applyFont="1" applyBorder="1"/>
    <xf numFmtId="169" fontId="17" fillId="0" borderId="48" xfId="0" applyNumberFormat="1" applyFont="1" applyBorder="1"/>
    <xf numFmtId="0" fontId="0" fillId="0" borderId="7" xfId="0" applyFill="1" applyBorder="1"/>
    <xf numFmtId="171" fontId="0" fillId="0" borderId="0" xfId="1" applyNumberFormat="1" applyFont="1"/>
    <xf numFmtId="10" fontId="0" fillId="0" borderId="0" xfId="0" applyNumberFormat="1"/>
    <xf numFmtId="0" fontId="1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171" fontId="0" fillId="0" borderId="1" xfId="0" applyNumberFormat="1" applyBorder="1"/>
    <xf numFmtId="171" fontId="0" fillId="7" borderId="1" xfId="0" applyNumberFormat="1" applyFill="1" applyBorder="1"/>
    <xf numFmtId="171" fontId="0" fillId="0" borderId="0" xfId="0" applyNumberFormat="1"/>
    <xf numFmtId="171" fontId="8" fillId="0" borderId="0" xfId="1" applyNumberFormat="1" applyFont="1"/>
    <xf numFmtId="171" fontId="8" fillId="0" borderId="1" xfId="1" applyNumberFormat="1" applyFont="1" applyBorder="1"/>
    <xf numFmtId="171" fontId="8" fillId="7" borderId="1" xfId="1" applyNumberFormat="1" applyFont="1" applyFill="1" applyBorder="1"/>
    <xf numFmtId="171" fontId="0" fillId="7" borderId="1" xfId="1" applyNumberFormat="1" applyFont="1" applyFill="1" applyBorder="1"/>
    <xf numFmtId="168" fontId="0" fillId="0" borderId="1" xfId="3" applyNumberFormat="1" applyFont="1" applyBorder="1"/>
    <xf numFmtId="171" fontId="18" fillId="0" borderId="0" xfId="1" applyNumberFormat="1" applyFont="1" applyAlignment="1">
      <alignment horizontal="right"/>
    </xf>
    <xf numFmtId="171" fontId="0" fillId="0" borderId="0" xfId="1" applyNumberFormat="1" applyFont="1" applyAlignment="1">
      <alignment horizontal="center"/>
    </xf>
    <xf numFmtId="0" fontId="19" fillId="0" borderId="0" xfId="0" applyFont="1"/>
    <xf numFmtId="0" fontId="20" fillId="0" borderId="0" xfId="0" applyFont="1"/>
    <xf numFmtId="171" fontId="21" fillId="0" borderId="0" xfId="1" applyNumberFormat="1" applyFont="1"/>
    <xf numFmtId="9" fontId="18" fillId="0" borderId="0" xfId="2" applyNumberFormat="1" applyFont="1"/>
    <xf numFmtId="0" fontId="0" fillId="0" borderId="1" xfId="0" applyFont="1" applyBorder="1"/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71" fontId="0" fillId="0" borderId="0" xfId="1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9">
    <cellStyle name="Comma" xfId="1" builtinId="3"/>
    <cellStyle name="Comma [0]" xfId="2" builtinId="6"/>
    <cellStyle name="Comma [0] 2" xfId="8"/>
    <cellStyle name="Comma 2" xfId="6"/>
    <cellStyle name="Excel Built-in Normal 2" xfId="4"/>
    <cellStyle name="Normal" xfId="0" builtinId="0"/>
    <cellStyle name="Normal 2" xfId="5"/>
    <cellStyle name="Percent" xfId="3" builtinId="5"/>
    <cellStyle name="Percent 2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RU/LAMPUNG%20SETTING%20PRODUKSI%20SEPTEMBER%202023%20NEW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 PRODUKSI SEPTEMBER"/>
      <sheetName val="Sheet1"/>
      <sheetName val="STOK AKHIR DAN ESKES LVL STOK"/>
      <sheetName val="MASTER DATA"/>
      <sheetName val="KIRIM ANTAR UNIT"/>
    </sheetNames>
    <sheetDataSet>
      <sheetData sheetId="0">
        <row r="178">
          <cell r="C178" t="str">
            <v>10100000000467</v>
          </cell>
        </row>
      </sheetData>
      <sheetData sheetId="1"/>
      <sheetData sheetId="2"/>
      <sheetData sheetId="3">
        <row r="3">
          <cell r="B3" t="str">
            <v>MASTER BAHAN BAKU</v>
          </cell>
        </row>
        <row r="5">
          <cell r="B5" t="str">
            <v>KODE</v>
          </cell>
          <cell r="C5" t="str">
            <v>MATERIAL</v>
          </cell>
          <cell r="D5" t="str">
            <v>BAHAN</v>
          </cell>
        </row>
        <row r="7">
          <cell r="B7" t="str">
            <v>10100000000495</v>
          </cell>
          <cell r="C7" t="str">
            <v>CUT UP 10</v>
          </cell>
          <cell r="D7">
            <v>1</v>
          </cell>
        </row>
        <row r="8">
          <cell r="B8" t="str">
            <v>10100000000512</v>
          </cell>
          <cell r="C8" t="str">
            <v>CUT UP 10 COB OR # SAYAP</v>
          </cell>
          <cell r="D8">
            <v>1.1000000000000001</v>
          </cell>
        </row>
        <row r="9">
          <cell r="B9" t="str">
            <v>10100000000513</v>
          </cell>
          <cell r="C9" t="str">
            <v>CUT UP 10 D FRESTO</v>
          </cell>
          <cell r="D9">
            <v>0.9</v>
          </cell>
        </row>
        <row r="10">
          <cell r="B10" t="str">
            <v>10100000000522</v>
          </cell>
          <cell r="C10" t="str">
            <v>CUT UP 10 GIANT</v>
          </cell>
          <cell r="D10">
            <v>1.1000000000000001</v>
          </cell>
        </row>
        <row r="11">
          <cell r="B11" t="str">
            <v>10100000000523</v>
          </cell>
          <cell r="C11" t="str">
            <v>CUT UP 10 GOLDCHICK</v>
          </cell>
          <cell r="D11">
            <v>1.2</v>
          </cell>
        </row>
        <row r="12">
          <cell r="B12" t="str">
            <v>10100000000535</v>
          </cell>
          <cell r="C12" t="str">
            <v>CUT UP 10 PCP</v>
          </cell>
          <cell r="D12">
            <v>1.1000000000000001</v>
          </cell>
        </row>
        <row r="13">
          <cell r="B13" t="str">
            <v>10100000000541</v>
          </cell>
          <cell r="C13" t="str">
            <v>CUT UP 12</v>
          </cell>
          <cell r="D13">
            <v>1.1000000000000001</v>
          </cell>
        </row>
        <row r="14">
          <cell r="B14" t="str">
            <v>10100000000567</v>
          </cell>
          <cell r="C14" t="str">
            <v>CUT UP 14 CAS</v>
          </cell>
          <cell r="D14">
            <v>1.4</v>
          </cell>
        </row>
        <row r="15">
          <cell r="B15" t="str">
            <v>10100000000568</v>
          </cell>
          <cell r="C15" t="str">
            <v>CUT UP 14 CHIR - CHIR</v>
          </cell>
          <cell r="D15">
            <v>1</v>
          </cell>
        </row>
        <row r="16">
          <cell r="B16" t="str">
            <v>10100000000576</v>
          </cell>
          <cell r="C16" t="str">
            <v>CUT UP 16 SOLARIA</v>
          </cell>
          <cell r="D16">
            <v>1</v>
          </cell>
        </row>
        <row r="17">
          <cell r="B17" t="str">
            <v>10100000000601</v>
          </cell>
          <cell r="C17" t="str">
            <v>CUT UP 4</v>
          </cell>
          <cell r="D17">
            <v>1.1000000000000001</v>
          </cell>
        </row>
        <row r="18">
          <cell r="B18" t="str">
            <v>10100000000605</v>
          </cell>
          <cell r="C18" t="str">
            <v>CUT UP 4 ( 0.7 - 0.8 )</v>
          </cell>
          <cell r="D18">
            <v>0.7</v>
          </cell>
        </row>
        <row r="19">
          <cell r="B19" t="str">
            <v>10100000000613</v>
          </cell>
          <cell r="C19" t="str">
            <v>CUT UP 4 GEPUK</v>
          </cell>
          <cell r="D19">
            <v>0.8</v>
          </cell>
        </row>
        <row r="20">
          <cell r="B20" t="str">
            <v>10100000000625</v>
          </cell>
          <cell r="C20" t="str">
            <v>CUT UP 5 PCP</v>
          </cell>
          <cell r="D20">
            <v>1.1000000000000001</v>
          </cell>
        </row>
        <row r="21">
          <cell r="B21" t="str">
            <v>10100000000668</v>
          </cell>
          <cell r="C21" t="str">
            <v>CUT UP 9</v>
          </cell>
          <cell r="D21">
            <v>0.9</v>
          </cell>
        </row>
        <row r="22">
          <cell r="B22" t="str">
            <v>10100000000674</v>
          </cell>
          <cell r="C22" t="str">
            <v>CUT UP 9 ( 1.0 - 1.1 ) BFC</v>
          </cell>
          <cell r="D22">
            <v>1</v>
          </cell>
        </row>
        <row r="23">
          <cell r="B23" t="str">
            <v>10100000000678</v>
          </cell>
          <cell r="C23" t="str">
            <v>CUT UP 9 A&amp;W</v>
          </cell>
          <cell r="D23">
            <v>1.2</v>
          </cell>
        </row>
        <row r="24">
          <cell r="B24" t="str">
            <v>10100000000681</v>
          </cell>
          <cell r="C24" t="str">
            <v>CUT UP 9 ALL BAIK</v>
          </cell>
          <cell r="D24">
            <v>0.9</v>
          </cell>
        </row>
        <row r="25">
          <cell r="B25" t="str">
            <v>10100000000692</v>
          </cell>
          <cell r="C25" t="str">
            <v>CUT UP 9 CANDY</v>
          </cell>
          <cell r="D25">
            <v>1.2</v>
          </cell>
        </row>
        <row r="26">
          <cell r="B26" t="str">
            <v>10100000000697</v>
          </cell>
          <cell r="C26" t="str">
            <v>CUT UP 9 CHICKEN DAY</v>
          </cell>
          <cell r="D26">
            <v>1.2</v>
          </cell>
        </row>
        <row r="27">
          <cell r="B27" t="str">
            <v>10100000000712</v>
          </cell>
          <cell r="C27" t="str">
            <v>CUT UP 9 GEPREK JUARA</v>
          </cell>
          <cell r="D27">
            <v>1.1000000000000001</v>
          </cell>
        </row>
        <row r="28">
          <cell r="B28" t="str">
            <v>10100000000715</v>
          </cell>
          <cell r="C28" t="str">
            <v>CUT UP 9 GOLDEN HEN</v>
          </cell>
          <cell r="D28">
            <v>1</v>
          </cell>
        </row>
        <row r="29">
          <cell r="B29" t="str">
            <v>10100000000719</v>
          </cell>
          <cell r="C29" t="str">
            <v>CUT UP 9 H MCD</v>
          </cell>
          <cell r="D29">
            <v>1.1000000000000001</v>
          </cell>
        </row>
        <row r="30">
          <cell r="B30" t="str">
            <v>10100000000723</v>
          </cell>
          <cell r="C30" t="str">
            <v>CUT UP 9 HISANA</v>
          </cell>
          <cell r="D30">
            <v>1.1000000000000001</v>
          </cell>
        </row>
        <row r="31">
          <cell r="B31" t="str">
            <v>10100000000736</v>
          </cell>
          <cell r="C31" t="str">
            <v>CUT UP 9 LAZIZA</v>
          </cell>
          <cell r="D31">
            <v>0.9</v>
          </cell>
        </row>
        <row r="32">
          <cell r="B32" t="str">
            <v>10100000000741</v>
          </cell>
          <cell r="C32" t="str">
            <v>CUT UP 9 MAESTRO</v>
          </cell>
          <cell r="D32">
            <v>1.3</v>
          </cell>
        </row>
        <row r="33">
          <cell r="B33" t="str">
            <v>10100000000742</v>
          </cell>
          <cell r="C33" t="str">
            <v>CUT UP 9 MARRY BROWN</v>
          </cell>
          <cell r="D33">
            <v>1.2</v>
          </cell>
        </row>
        <row r="34">
          <cell r="B34" t="str">
            <v>10100000000743</v>
          </cell>
          <cell r="C34" t="str">
            <v>CUT UP 9 MASTER</v>
          </cell>
          <cell r="D34">
            <v>1.1000000000000001</v>
          </cell>
        </row>
        <row r="35">
          <cell r="B35" t="str">
            <v>10100000000757</v>
          </cell>
          <cell r="C35" t="str">
            <v>CUT UP 9 R MCD</v>
          </cell>
          <cell r="D35">
            <v>1</v>
          </cell>
        </row>
        <row r="36">
          <cell r="B36" t="str">
            <v>10100000000758</v>
          </cell>
          <cell r="C36" t="str">
            <v>CUT UP 9 RAMAYANA</v>
          </cell>
          <cell r="D36">
            <v>1</v>
          </cell>
        </row>
        <row r="37">
          <cell r="B37" t="str">
            <v>10100000000761</v>
          </cell>
          <cell r="C37" t="str">
            <v>CUT UP 9 RICH FC</v>
          </cell>
          <cell r="D37">
            <v>1.2</v>
          </cell>
        </row>
        <row r="38">
          <cell r="B38" t="str">
            <v>10100000000763</v>
          </cell>
          <cell r="C38" t="str">
            <v>CUT UP 9 ROCKET</v>
          </cell>
          <cell r="D38">
            <v>1.1000000000000001</v>
          </cell>
        </row>
        <row r="39">
          <cell r="B39" t="str">
            <v>10100000000776</v>
          </cell>
          <cell r="C39" t="str">
            <v>CUT UP 9 SUPER CHICKEN</v>
          </cell>
          <cell r="D39">
            <v>1.1000000000000001</v>
          </cell>
        </row>
        <row r="40">
          <cell r="B40" t="str">
            <v>10100000000782</v>
          </cell>
          <cell r="C40" t="str">
            <v>CUT UP 9 WAKWAW</v>
          </cell>
          <cell r="D40">
            <v>1</v>
          </cell>
        </row>
        <row r="41">
          <cell r="B41" t="str">
            <v>10100000000787</v>
          </cell>
          <cell r="C41" t="str">
            <v>CUT UP 9 ZEST CHICKEN</v>
          </cell>
          <cell r="D41">
            <v>0.9</v>
          </cell>
        </row>
        <row r="42">
          <cell r="B42" t="str">
            <v>10100000000788</v>
          </cell>
          <cell r="C42" t="str">
            <v>CUT UP ABOB</v>
          </cell>
          <cell r="D42">
            <v>1.2</v>
          </cell>
        </row>
        <row r="43">
          <cell r="B43" t="str">
            <v>10100000000798</v>
          </cell>
          <cell r="C43" t="str">
            <v>CUT UP KERANJANG</v>
          </cell>
          <cell r="D43">
            <v>1.1000000000000001</v>
          </cell>
        </row>
        <row r="44">
          <cell r="B44" t="str">
            <v>10100000000800</v>
          </cell>
          <cell r="C44" t="str">
            <v>CUT UP NON ABOB</v>
          </cell>
          <cell r="D44">
            <v>1.2</v>
          </cell>
        </row>
        <row r="45">
          <cell r="B45" t="str">
            <v>10100000001437</v>
          </cell>
          <cell r="C45" t="str">
            <v>CUT UP 9 ARDI FC</v>
          </cell>
          <cell r="D45">
            <v>0.9</v>
          </cell>
        </row>
        <row r="46">
          <cell r="B46" t="str">
            <v>10100000001545</v>
          </cell>
          <cell r="C46" t="str">
            <v>CUT UP 2 ( 0.8 - 0.9 ) RICHEESE</v>
          </cell>
          <cell r="D46">
            <v>0.8</v>
          </cell>
        </row>
        <row r="47">
          <cell r="B47" t="str">
            <v>10100000001639</v>
          </cell>
          <cell r="C47" t="str">
            <v>CUT UP 10 BK</v>
          </cell>
          <cell r="D47">
            <v>1.1000000000000001</v>
          </cell>
        </row>
        <row r="48">
          <cell r="B48" t="str">
            <v>10100000001722</v>
          </cell>
          <cell r="C48" t="str">
            <v>CUT UP WENDYS ( 0.9 - 1.0 )</v>
          </cell>
          <cell r="D48">
            <v>0.9</v>
          </cell>
        </row>
        <row r="49">
          <cell r="B49" t="str">
            <v>10100000001732</v>
          </cell>
          <cell r="C49" t="str">
            <v>CUT UP 10 KAF CHICKEN</v>
          </cell>
          <cell r="D49">
            <v>1.1000000000000001</v>
          </cell>
        </row>
        <row r="50">
          <cell r="B50" t="str">
            <v>10100000001734</v>
          </cell>
          <cell r="C50" t="str">
            <v>CUT UP 14 ALLBAIK</v>
          </cell>
          <cell r="D50">
            <v>0.9</v>
          </cell>
        </row>
        <row r="51">
          <cell r="B51" t="str">
            <v>10100000001735</v>
          </cell>
          <cell r="C51" t="str">
            <v>CUT UP 9 HARINA ( 1.0 - 1.1 )</v>
          </cell>
          <cell r="D51">
            <v>1</v>
          </cell>
        </row>
        <row r="52">
          <cell r="B52" t="str">
            <v>10100000001737</v>
          </cell>
          <cell r="C52" t="str">
            <v>CUT UP 9 HENIYATI ( 1.0 )</v>
          </cell>
          <cell r="D52">
            <v>1</v>
          </cell>
        </row>
        <row r="53">
          <cell r="B53" t="str">
            <v>10100000001738</v>
          </cell>
          <cell r="C53" t="str">
            <v>CUT UP 10 AYAM FOREVER</v>
          </cell>
          <cell r="D53">
            <v>1.1000000000000001</v>
          </cell>
        </row>
        <row r="54">
          <cell r="B54" t="str">
            <v>10100000001741</v>
          </cell>
          <cell r="C54" t="str">
            <v>CUT UP 9 AZIZ FC</v>
          </cell>
          <cell r="D54">
            <v>0.9</v>
          </cell>
        </row>
        <row r="55">
          <cell r="B55" t="str">
            <v>10100000001742</v>
          </cell>
          <cell r="C55" t="str">
            <v>CUT UP 9 BANG JAGO</v>
          </cell>
          <cell r="D55">
            <v>1.2</v>
          </cell>
        </row>
        <row r="56">
          <cell r="B56" t="str">
            <v>10100000001744</v>
          </cell>
          <cell r="C56" t="str">
            <v>CUT UP 9 F2C</v>
          </cell>
          <cell r="D56">
            <v>1</v>
          </cell>
        </row>
        <row r="57">
          <cell r="B57" t="str">
            <v>10100000001745</v>
          </cell>
          <cell r="C57" t="str">
            <v>CUT UP 9 D'MASTER</v>
          </cell>
          <cell r="D57">
            <v>0.9</v>
          </cell>
        </row>
        <row r="58">
          <cell r="B58" t="str">
            <v>10100000001748</v>
          </cell>
          <cell r="C58" t="str">
            <v>CUT UP 10 D'MASTER ( 0.8 )</v>
          </cell>
          <cell r="D58">
            <v>0.8</v>
          </cell>
        </row>
        <row r="59">
          <cell r="B59" t="str">
            <v>10100000001752</v>
          </cell>
          <cell r="C59" t="str">
            <v>CUT UP 10 JUNO FC ( 0.8 )</v>
          </cell>
          <cell r="D59">
            <v>0.8</v>
          </cell>
        </row>
        <row r="60">
          <cell r="B60" t="str">
            <v>10100000001753</v>
          </cell>
          <cell r="C60" t="str">
            <v>CUT UP 10 JUNO FC</v>
          </cell>
          <cell r="D60">
            <v>1</v>
          </cell>
        </row>
        <row r="61">
          <cell r="B61" t="str">
            <v>10100000001755</v>
          </cell>
          <cell r="C61" t="str">
            <v>CUT UP 9 ALMANAN</v>
          </cell>
          <cell r="D61">
            <v>1.1000000000000001</v>
          </cell>
        </row>
        <row r="62">
          <cell r="B62" t="str">
            <v>10100000001756</v>
          </cell>
          <cell r="C62" t="str">
            <v>CUT UP 9 AKSANA FC</v>
          </cell>
          <cell r="D62">
            <v>1.2</v>
          </cell>
        </row>
        <row r="63">
          <cell r="B63" t="str">
            <v>10100000001757</v>
          </cell>
          <cell r="C63" t="str">
            <v>CUT UP 10 ROSNAWATI</v>
          </cell>
          <cell r="D63">
            <v>0.8</v>
          </cell>
        </row>
        <row r="64">
          <cell r="B64" t="str">
            <v>10100000001758</v>
          </cell>
          <cell r="C64" t="str">
            <v>CUT UP 9 ROSNAWATI</v>
          </cell>
          <cell r="D64">
            <v>0.9</v>
          </cell>
        </row>
        <row r="65">
          <cell r="B65" t="str">
            <v>10100000001760</v>
          </cell>
          <cell r="C65" t="str">
            <v>CUT UP 9 BPK. TEDY</v>
          </cell>
          <cell r="D65">
            <v>1.1000000000000001</v>
          </cell>
        </row>
        <row r="66">
          <cell r="B66" t="str">
            <v>10100000001761</v>
          </cell>
          <cell r="C66" t="str">
            <v>CUT UP 9 BERKAH FC</v>
          </cell>
          <cell r="D66">
            <v>0.9</v>
          </cell>
        </row>
        <row r="67">
          <cell r="B67" t="str">
            <v>10100000001762</v>
          </cell>
          <cell r="C67" t="str">
            <v>CUT UP 9 ARA FC</v>
          </cell>
          <cell r="D67">
            <v>1</v>
          </cell>
        </row>
        <row r="68">
          <cell r="B68" t="str">
            <v>10100000001766</v>
          </cell>
          <cell r="C68" t="str">
            <v>CUT UP 9 RANISA</v>
          </cell>
          <cell r="D68">
            <v>0.9</v>
          </cell>
        </row>
        <row r="69">
          <cell r="B69" t="str">
            <v>10100000001799</v>
          </cell>
          <cell r="C69" t="str">
            <v>CUT UP 9 LMP</v>
          </cell>
          <cell r="D69">
            <v>0.9</v>
          </cell>
        </row>
        <row r="70">
          <cell r="B70" t="str">
            <v>10100000001801</v>
          </cell>
          <cell r="C70" t="str">
            <v>CUT UP 9 D'TOP</v>
          </cell>
          <cell r="D70">
            <v>1</v>
          </cell>
        </row>
        <row r="71">
          <cell r="B71" t="str">
            <v>10100000000018</v>
          </cell>
          <cell r="C71" t="str">
            <v>AU # SAYAP</v>
          </cell>
          <cell r="D71">
            <v>1</v>
          </cell>
        </row>
        <row r="72">
          <cell r="B72" t="str">
            <v>10100000000488</v>
          </cell>
          <cell r="C72" t="str">
            <v>CUT UP ( 100 - 110 ) GEPREK</v>
          </cell>
          <cell r="D72">
            <v>1</v>
          </cell>
        </row>
        <row r="73">
          <cell r="B73" t="str">
            <v>10100000000502</v>
          </cell>
          <cell r="C73" t="str">
            <v>CUT UP 10 ( 1.3 - 1.4 ) CBEST</v>
          </cell>
          <cell r="D73">
            <v>1.3</v>
          </cell>
        </row>
        <row r="74">
          <cell r="B74" t="str">
            <v>10100000000507</v>
          </cell>
          <cell r="C74" t="str">
            <v>CUT UP 10 BIC</v>
          </cell>
          <cell r="D74">
            <v>1.1000000000000001</v>
          </cell>
        </row>
        <row r="75">
          <cell r="B75" t="str">
            <v>10100000000508</v>
          </cell>
          <cell r="C75" t="str">
            <v>CUT UP 10 CBEST</v>
          </cell>
          <cell r="D75">
            <v>1.4</v>
          </cell>
        </row>
        <row r="76">
          <cell r="B76" t="str">
            <v>10100000000510</v>
          </cell>
          <cell r="C76" t="str">
            <v>CUT UP 10 CJ</v>
          </cell>
          <cell r="D76">
            <v>1.3</v>
          </cell>
        </row>
        <row r="77">
          <cell r="B77" t="str">
            <v>10100000000531</v>
          </cell>
          <cell r="C77" t="str">
            <v>CUT UP 10 MR SUPREK</v>
          </cell>
          <cell r="D77">
            <v>1.2</v>
          </cell>
        </row>
        <row r="78">
          <cell r="B78" t="str">
            <v>10100000000560</v>
          </cell>
          <cell r="C78" t="str">
            <v>CUT UP 14</v>
          </cell>
          <cell r="D78">
            <v>1.3</v>
          </cell>
        </row>
        <row r="79">
          <cell r="B79" t="str">
            <v>10100000000562</v>
          </cell>
          <cell r="C79" t="str">
            <v>CUT UP 14 ARAIHAN</v>
          </cell>
          <cell r="D79">
            <v>1.2</v>
          </cell>
        </row>
        <row r="80">
          <cell r="B80" t="str">
            <v>10100000000592</v>
          </cell>
          <cell r="C80" t="str">
            <v>CUT UP 20 GR</v>
          </cell>
          <cell r="D80">
            <v>1</v>
          </cell>
        </row>
        <row r="81">
          <cell r="B81" t="str">
            <v>10100000000626</v>
          </cell>
          <cell r="C81" t="str">
            <v>CUT UP 5 REGULER</v>
          </cell>
          <cell r="D81">
            <v>1.1000000000000001</v>
          </cell>
        </row>
        <row r="82">
          <cell r="B82" t="str">
            <v>10100000000651</v>
          </cell>
          <cell r="C82" t="str">
            <v>CUT UP 8 CBEST</v>
          </cell>
          <cell r="D82">
            <v>0.9</v>
          </cell>
        </row>
        <row r="83">
          <cell r="B83" t="str">
            <v>10100000000663</v>
          </cell>
          <cell r="C83" t="str">
            <v>CUT UP 8 TEXAS</v>
          </cell>
          <cell r="D83">
            <v>1.2</v>
          </cell>
        </row>
        <row r="84">
          <cell r="B84" t="str">
            <v>10100000000671</v>
          </cell>
          <cell r="C84" t="str">
            <v>CUT UP 9 # SAYAP</v>
          </cell>
          <cell r="D84">
            <v>0.9</v>
          </cell>
        </row>
        <row r="85">
          <cell r="B85" t="str">
            <v>10100000000682</v>
          </cell>
          <cell r="C85" t="str">
            <v>CUT UP 9 ARAIHAN</v>
          </cell>
          <cell r="D85">
            <v>1.2</v>
          </cell>
        </row>
        <row r="86">
          <cell r="B86" t="str">
            <v>10100000000705</v>
          </cell>
          <cell r="C86" t="str">
            <v>CUT UP 9 DEEP CHICKEN</v>
          </cell>
          <cell r="D86">
            <v>1.1000000000000001</v>
          </cell>
        </row>
        <row r="87">
          <cell r="B87" t="str">
            <v>10100000000734</v>
          </cell>
          <cell r="C87" t="str">
            <v>CUT UP 9 LALA</v>
          </cell>
          <cell r="D87">
            <v>1.1000000000000001</v>
          </cell>
        </row>
        <row r="88">
          <cell r="B88" t="str">
            <v>10100000000740</v>
          </cell>
          <cell r="C88" t="str">
            <v>CUT UP 9 M2M</v>
          </cell>
          <cell r="D88">
            <v>1.1000000000000001</v>
          </cell>
        </row>
        <row r="89">
          <cell r="B89" t="str">
            <v>10100000000745</v>
          </cell>
          <cell r="C89" t="str">
            <v>CUT UP 9 MJ</v>
          </cell>
          <cell r="D89">
            <v>1.1000000000000001</v>
          </cell>
        </row>
        <row r="90">
          <cell r="B90" t="str">
            <v>10100000000747</v>
          </cell>
          <cell r="C90" t="str">
            <v>CUT UP 9 MY CHICKEN</v>
          </cell>
          <cell r="D90">
            <v>0.9</v>
          </cell>
        </row>
        <row r="91">
          <cell r="B91" t="str">
            <v>10100000000808</v>
          </cell>
          <cell r="C91" t="str">
            <v>CUT UP WENDYS</v>
          </cell>
          <cell r="D91">
            <v>0.9</v>
          </cell>
        </row>
        <row r="92">
          <cell r="B92" t="str">
            <v>10100000001423</v>
          </cell>
          <cell r="C92" t="str">
            <v>CUT UP 18 ( 100 GR )</v>
          </cell>
          <cell r="D92">
            <v>1.2</v>
          </cell>
        </row>
        <row r="93">
          <cell r="B93" t="str">
            <v>10100000001722</v>
          </cell>
          <cell r="C93" t="str">
            <v>CUT UP WENDYS ( 0.9 - 1.0 )</v>
          </cell>
          <cell r="D93">
            <v>0.9</v>
          </cell>
        </row>
        <row r="94">
          <cell r="B94" t="str">
            <v>10100000000492</v>
          </cell>
          <cell r="C94" t="str">
            <v>CUT UP ( 45 - 55 ) FP</v>
          </cell>
          <cell r="D94">
            <v>1.3</v>
          </cell>
        </row>
        <row r="95">
          <cell r="B95" t="str">
            <v>10100000000572</v>
          </cell>
          <cell r="C95" t="str">
            <v>CUT UP 16</v>
          </cell>
          <cell r="D95">
            <v>1.5</v>
          </cell>
        </row>
        <row r="96">
          <cell r="B96" t="str">
            <v>10100000000640</v>
          </cell>
          <cell r="C96" t="str">
            <v>CUT UP 8</v>
          </cell>
          <cell r="D96">
            <v>0.8</v>
          </cell>
        </row>
        <row r="97">
          <cell r="B97" t="str">
            <v>10100000001674</v>
          </cell>
          <cell r="C97" t="str">
            <v>CUT UP 9 ALI FC</v>
          </cell>
          <cell r="D97">
            <v>1</v>
          </cell>
        </row>
        <row r="98">
          <cell r="B98" t="str">
            <v>10100000001675</v>
          </cell>
          <cell r="C98" t="str">
            <v>CUT UP 13 ALI FC</v>
          </cell>
          <cell r="D98">
            <v>1</v>
          </cell>
        </row>
        <row r="99">
          <cell r="B99" t="str">
            <v>10100000001802</v>
          </cell>
          <cell r="C99" t="str">
            <v>CUT UP 10 BK ( N )</v>
          </cell>
          <cell r="D99">
            <v>1</v>
          </cell>
        </row>
        <row r="100">
          <cell r="B100" t="str">
            <v>10100000000491</v>
          </cell>
          <cell r="C100" t="str">
            <v>CUT UP ( 40 - 60 GR )</v>
          </cell>
          <cell r="D100">
            <v>1.3</v>
          </cell>
        </row>
        <row r="101">
          <cell r="B101" t="str">
            <v>10100000001446</v>
          </cell>
          <cell r="C101" t="str">
            <v>CUT UP 16 CAS</v>
          </cell>
          <cell r="D101">
            <v>1.1000000000000001</v>
          </cell>
        </row>
        <row r="102">
          <cell r="B102" t="str">
            <v>10100000001781</v>
          </cell>
          <cell r="C102" t="str">
            <v>CUT UP 9 H DC</v>
          </cell>
          <cell r="D102">
            <v>1.1000000000000001</v>
          </cell>
        </row>
        <row r="103">
          <cell r="B103" t="str">
            <v>10100000001782</v>
          </cell>
          <cell r="C103" t="str">
            <v>CUT UP 9 R DC</v>
          </cell>
          <cell r="D103">
            <v>1.1000000000000001</v>
          </cell>
        </row>
        <row r="104">
          <cell r="B104" t="str">
            <v>10100000001904</v>
          </cell>
          <cell r="C104" t="str">
            <v>CUT UP 10 GD</v>
          </cell>
          <cell r="D104">
            <v>1.1000000000000001</v>
          </cell>
        </row>
        <row r="105">
          <cell r="B105" t="str">
            <v>10100000001910</v>
          </cell>
          <cell r="C105" t="str">
            <v>CUT UP 20 PCP</v>
          </cell>
          <cell r="D105">
            <v>1.3</v>
          </cell>
        </row>
        <row r="107">
          <cell r="B107" t="str">
            <v>10100000000031</v>
          </cell>
          <cell r="C107" t="str">
            <v>AU ( 0.4 - 0.5 )</v>
          </cell>
          <cell r="D107">
            <v>0.4</v>
          </cell>
        </row>
        <row r="108">
          <cell r="B108" t="str">
            <v>10100000000039</v>
          </cell>
          <cell r="C108" t="str">
            <v>AU ( 0.5 - 0.6 )</v>
          </cell>
          <cell r="D108">
            <v>0.5</v>
          </cell>
        </row>
        <row r="109">
          <cell r="B109" t="str">
            <v>10100000000043</v>
          </cell>
          <cell r="C109" t="str">
            <v>AU ( 0.5 - 0.6 ) GRADE</v>
          </cell>
          <cell r="D109">
            <v>0.5</v>
          </cell>
        </row>
        <row r="110">
          <cell r="B110" t="str">
            <v>10100000000051</v>
          </cell>
          <cell r="C110" t="str">
            <v>AU ( 0.6 - 0.7 )</v>
          </cell>
          <cell r="D110">
            <v>0.6</v>
          </cell>
        </row>
        <row r="111">
          <cell r="B111" t="str">
            <v>10100000000052</v>
          </cell>
          <cell r="C111" t="str">
            <v>AU ( 0.6 - 0.7 ) CHIO CHICKEN</v>
          </cell>
          <cell r="D111">
            <v>0.6</v>
          </cell>
        </row>
        <row r="112">
          <cell r="B112" t="str">
            <v>10100000000054</v>
          </cell>
          <cell r="C112" t="str">
            <v>AU ( 0.6 - 0.7 ) GRADE</v>
          </cell>
          <cell r="D112">
            <v>0.6</v>
          </cell>
        </row>
        <row r="113">
          <cell r="B113" t="str">
            <v>10100000000055</v>
          </cell>
          <cell r="C113" t="str">
            <v>AU ( 0.6 - 0.7 ) LENGKAP</v>
          </cell>
          <cell r="D113">
            <v>0.6</v>
          </cell>
        </row>
        <row r="114">
          <cell r="B114" t="str">
            <v>10100000000062</v>
          </cell>
          <cell r="C114" t="str">
            <v>AU ( 0.7 - 0.8 )</v>
          </cell>
          <cell r="D114">
            <v>0.7</v>
          </cell>
        </row>
        <row r="115">
          <cell r="B115" t="str">
            <v>10100000000063</v>
          </cell>
          <cell r="C115" t="str">
            <v>AU ( 0.7 - 0.8 ) CHIO CHICKEN</v>
          </cell>
          <cell r="D115">
            <v>0.7</v>
          </cell>
        </row>
        <row r="116">
          <cell r="B116" t="str">
            <v>10100000000065</v>
          </cell>
          <cell r="C116" t="str">
            <v>AU ( 0.7 - 0.8 ) GRADE</v>
          </cell>
          <cell r="D116">
            <v>0.7</v>
          </cell>
        </row>
        <row r="117">
          <cell r="B117" t="str">
            <v>10100000000076</v>
          </cell>
          <cell r="C117" t="str">
            <v>AU ( 0.8 - 0.9 )</v>
          </cell>
          <cell r="D117">
            <v>0.8</v>
          </cell>
        </row>
        <row r="118">
          <cell r="B118" t="str">
            <v>10100000000078</v>
          </cell>
          <cell r="C118" t="str">
            <v>AU ( 0.8 - 0.9 ) CHIO CHICKEN</v>
          </cell>
          <cell r="D118">
            <v>0.8</v>
          </cell>
        </row>
        <row r="119">
          <cell r="B119" t="str">
            <v>10100000000080</v>
          </cell>
          <cell r="C119" t="str">
            <v>AU ( 0.8 - 0.9 ) GRADE</v>
          </cell>
          <cell r="D119">
            <v>0.8</v>
          </cell>
        </row>
        <row r="120">
          <cell r="B120" t="str">
            <v>10100000000090</v>
          </cell>
          <cell r="C120" t="str">
            <v>AU ( 0.9 - 1.0 )</v>
          </cell>
          <cell r="D120">
            <v>0.9</v>
          </cell>
        </row>
        <row r="121">
          <cell r="B121" t="str">
            <v>10100000000092</v>
          </cell>
          <cell r="C121" t="str">
            <v>AU ( 0.9 - 1.0 ) CHIO CHICKEN</v>
          </cell>
          <cell r="D121">
            <v>0.9</v>
          </cell>
        </row>
        <row r="122">
          <cell r="B122" t="str">
            <v>10100000000094</v>
          </cell>
          <cell r="C122" t="str">
            <v>AU ( 0.9 - 1.0 ) GRADE</v>
          </cell>
          <cell r="D122">
            <v>0.9</v>
          </cell>
        </row>
        <row r="123">
          <cell r="B123" t="str">
            <v>10100000000107</v>
          </cell>
          <cell r="C123" t="str">
            <v>AU ( 1.0 - 1.1 )</v>
          </cell>
          <cell r="D123">
            <v>1</v>
          </cell>
        </row>
        <row r="124">
          <cell r="B124" t="str">
            <v>10100000000110</v>
          </cell>
          <cell r="C124" t="str">
            <v>AU ( 1.0 - 1.1 ) CHIO CHICKEN</v>
          </cell>
          <cell r="D124">
            <v>1</v>
          </cell>
        </row>
        <row r="125">
          <cell r="B125" t="str">
            <v>10100000000112</v>
          </cell>
          <cell r="C125" t="str">
            <v>AU ( 1.0 - 1.1 ) GRADE</v>
          </cell>
          <cell r="D125">
            <v>1</v>
          </cell>
        </row>
        <row r="126">
          <cell r="B126" t="str">
            <v>10100000000114</v>
          </cell>
          <cell r="C126" t="str">
            <v>AU ( 1.0 - 1.1 ) LENGKAP</v>
          </cell>
          <cell r="D126">
            <v>1</v>
          </cell>
        </row>
        <row r="127">
          <cell r="B127" t="str">
            <v>10100000000128</v>
          </cell>
          <cell r="C127" t="str">
            <v>AU ( 1.1 - 1.2 )</v>
          </cell>
          <cell r="D127">
            <v>1.1000000000000001</v>
          </cell>
        </row>
        <row r="128">
          <cell r="B128" t="str">
            <v>10100000000130</v>
          </cell>
          <cell r="C128" t="str">
            <v>AU ( 1.1 - 1.2 ) CHIO CHICKEN</v>
          </cell>
          <cell r="D128">
            <v>1.1000000000000001</v>
          </cell>
        </row>
        <row r="129">
          <cell r="B129" t="str">
            <v>10100000000132</v>
          </cell>
          <cell r="C129" t="str">
            <v>AU ( 1.1 - 1.2 ) GRADE</v>
          </cell>
          <cell r="D129">
            <v>1.1000000000000001</v>
          </cell>
        </row>
        <row r="130">
          <cell r="B130" t="str">
            <v>10100000000147</v>
          </cell>
          <cell r="C130" t="str">
            <v>AU ( 1.2 - 1.3 )</v>
          </cell>
          <cell r="D130">
            <v>1.2</v>
          </cell>
        </row>
        <row r="131">
          <cell r="B131" t="str">
            <v>10100000000149</v>
          </cell>
          <cell r="C131" t="str">
            <v>AU ( 1.2 - 1.3 ) CHIO CHICKEN</v>
          </cell>
          <cell r="D131">
            <v>1.2</v>
          </cell>
        </row>
        <row r="132">
          <cell r="B132" t="str">
            <v>10100000000151</v>
          </cell>
          <cell r="C132" t="str">
            <v>AU ( 1.2 - 1.3 ) GRADE</v>
          </cell>
          <cell r="D132">
            <v>1.2</v>
          </cell>
        </row>
        <row r="133">
          <cell r="B133" t="str">
            <v>10100000000166</v>
          </cell>
          <cell r="C133" t="str">
            <v>AU ( 1.3 - 1.4 )</v>
          </cell>
          <cell r="D133">
            <v>1.3</v>
          </cell>
        </row>
        <row r="134">
          <cell r="B134" t="str">
            <v>10100000000169</v>
          </cell>
          <cell r="C134" t="str">
            <v>AU ( 1.3 - 1.4 ) CHIO CHICKEN</v>
          </cell>
          <cell r="D134">
            <v>1.3</v>
          </cell>
        </row>
        <row r="135">
          <cell r="B135" t="str">
            <v>10100000000171</v>
          </cell>
          <cell r="C135" t="str">
            <v>AU ( 1.3 - 1.4 ) GRADE</v>
          </cell>
          <cell r="D135">
            <v>1.3</v>
          </cell>
        </row>
        <row r="136">
          <cell r="B136" t="str">
            <v>10100000000187</v>
          </cell>
          <cell r="C136" t="str">
            <v>AU ( 1.4 - 1.5 )</v>
          </cell>
          <cell r="D136">
            <v>1.4</v>
          </cell>
        </row>
        <row r="137">
          <cell r="B137" t="str">
            <v>10100000000190</v>
          </cell>
          <cell r="C137" t="str">
            <v>AU ( 1.4 - 1.5 ) CHIO CHICKEN</v>
          </cell>
          <cell r="D137">
            <v>1.4</v>
          </cell>
        </row>
        <row r="138">
          <cell r="B138" t="str">
            <v>10100000000192</v>
          </cell>
          <cell r="C138" t="str">
            <v>AU ( 1.4 - 1.5 ) GRADE</v>
          </cell>
          <cell r="D138">
            <v>1.4</v>
          </cell>
        </row>
        <row r="139">
          <cell r="B139" t="str">
            <v>10100000000206</v>
          </cell>
          <cell r="C139" t="str">
            <v>AU ( 1.5 - 1.6 ) CHIO CHICKEN</v>
          </cell>
          <cell r="D139">
            <v>1.5</v>
          </cell>
        </row>
        <row r="140">
          <cell r="B140" t="str">
            <v>10100000000208</v>
          </cell>
          <cell r="C140" t="str">
            <v>AU ( 1.5 - 1.6 ) GRADE</v>
          </cell>
          <cell r="D140">
            <v>1.5</v>
          </cell>
        </row>
        <row r="141">
          <cell r="B141" t="str">
            <v>10100000000221</v>
          </cell>
          <cell r="C141" t="str">
            <v>AU ( 1.6 - 1.7 )</v>
          </cell>
          <cell r="D141">
            <v>1.6</v>
          </cell>
        </row>
        <row r="142">
          <cell r="B142" t="str">
            <v>10100000000222</v>
          </cell>
          <cell r="C142" t="str">
            <v>AU ( 1.6 - 1.7 ) CHIO CHICKEN</v>
          </cell>
          <cell r="D142">
            <v>1.6</v>
          </cell>
        </row>
        <row r="143">
          <cell r="B143" t="str">
            <v>10100000000237</v>
          </cell>
          <cell r="C143" t="str">
            <v>AU 1000 GR</v>
          </cell>
          <cell r="D143">
            <v>1</v>
          </cell>
        </row>
        <row r="144">
          <cell r="B144" t="str">
            <v>10100000000243</v>
          </cell>
          <cell r="C144" t="str">
            <v>AU 800 GR</v>
          </cell>
          <cell r="D144">
            <v>0.8</v>
          </cell>
        </row>
        <row r="145">
          <cell r="B145" t="str">
            <v>10100000001528</v>
          </cell>
          <cell r="C145" t="str">
            <v>AU ( 1.7 - 1.8 ) CHIO CHICKEN</v>
          </cell>
          <cell r="D145">
            <v>1.7</v>
          </cell>
        </row>
        <row r="146">
          <cell r="B146" t="str">
            <v>10100000001529</v>
          </cell>
          <cell r="C146" t="str">
            <v>AU ( 1.8 - 1.9 ) CHIO CHICKEN</v>
          </cell>
          <cell r="D146">
            <v>1.8</v>
          </cell>
        </row>
        <row r="147">
          <cell r="B147" t="str">
            <v>10100000001530</v>
          </cell>
          <cell r="C147" t="str">
            <v>AU ( 1.9 - 2.0 ) CHIO CHICKEN</v>
          </cell>
          <cell r="D147">
            <v>1.9</v>
          </cell>
        </row>
        <row r="148">
          <cell r="B148" t="str">
            <v>10100000001531</v>
          </cell>
          <cell r="C148" t="str">
            <v>AU ( &gt; 2.0 ) CHIO CHICKEN</v>
          </cell>
          <cell r="D148">
            <v>2</v>
          </cell>
        </row>
        <row r="149">
          <cell r="B149" t="str">
            <v>10100000001693</v>
          </cell>
          <cell r="C149" t="str">
            <v>AU ( 0.7 - 0.8 ) JAPFA BEST</v>
          </cell>
          <cell r="D149">
            <v>0.7</v>
          </cell>
        </row>
        <row r="150">
          <cell r="B150" t="str">
            <v>10100000001694</v>
          </cell>
          <cell r="C150" t="str">
            <v>AU ( 0.8 - 0.9 ) JAPFA BEST</v>
          </cell>
          <cell r="D150">
            <v>0.8</v>
          </cell>
        </row>
        <row r="151">
          <cell r="B151" t="str">
            <v>10100000001695</v>
          </cell>
          <cell r="C151" t="str">
            <v>AU ( 0.9 - 1.0 ) JAPFA BEST</v>
          </cell>
          <cell r="D151">
            <v>0.9</v>
          </cell>
        </row>
        <row r="152">
          <cell r="B152" t="str">
            <v>10100000001696</v>
          </cell>
          <cell r="C152" t="str">
            <v>AU ( 1.0 - 1.1 ) JAPFA BEST</v>
          </cell>
          <cell r="D152">
            <v>1</v>
          </cell>
        </row>
      </sheetData>
      <sheetData sheetId="4">
        <row r="3">
          <cell r="B3" t="str">
            <v xml:space="preserve">Rencana import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55"/>
  <sheetViews>
    <sheetView showGridLines="0" topLeftCell="U1" zoomScale="70" zoomScaleNormal="70" workbookViewId="0">
      <pane xSplit="2" topLeftCell="W1" activePane="topRight" state="frozen"/>
      <selection activeCell="U1" sqref="U1"/>
      <selection pane="topRight" activeCell="V1" sqref="U1:V1048576"/>
    </sheetView>
  </sheetViews>
  <sheetFormatPr defaultRowHeight="15" x14ac:dyDescent="0.25"/>
  <cols>
    <col min="2" max="2" width="18.7109375" bestFit="1" customWidth="1"/>
    <col min="3" max="3" width="18.5703125" bestFit="1" customWidth="1"/>
    <col min="4" max="4" width="33.7109375" bestFit="1" customWidth="1"/>
    <col min="5" max="5" width="12.7109375" customWidth="1"/>
    <col min="6" max="6" width="16.42578125" customWidth="1"/>
    <col min="7" max="7" width="12.28515625" bestFit="1" customWidth="1"/>
    <col min="8" max="8" width="7.42578125" style="10" bestFit="1" customWidth="1"/>
    <col min="9" max="9" width="13" style="10" bestFit="1" customWidth="1"/>
    <col min="10" max="10" width="8.42578125" bestFit="1" customWidth="1"/>
    <col min="11" max="11" width="9.42578125" customWidth="1"/>
    <col min="12" max="12" width="23.42578125" bestFit="1" customWidth="1"/>
    <col min="13" max="13" width="21.5703125" bestFit="1" customWidth="1"/>
    <col min="14" max="14" width="13.5703125" bestFit="1" customWidth="1"/>
    <col min="15" max="15" width="21.5703125" bestFit="1" customWidth="1"/>
    <col min="16" max="16" width="21.5703125" customWidth="1"/>
    <col min="18" max="18" width="10.85546875" bestFit="1" customWidth="1"/>
    <col min="19" max="19" width="12.28515625" bestFit="1" customWidth="1"/>
    <col min="20" max="20" width="7.85546875" customWidth="1"/>
    <col min="21" max="21" width="10.140625" customWidth="1"/>
    <col min="22" max="22" width="19.5703125" bestFit="1" customWidth="1"/>
    <col min="23" max="23" width="23.5703125" bestFit="1" customWidth="1"/>
    <col min="24" max="24" width="20" bestFit="1" customWidth="1"/>
    <col min="25" max="25" width="22" bestFit="1" customWidth="1"/>
    <col min="26" max="26" width="16.28515625" bestFit="1" customWidth="1"/>
    <col min="27" max="27" width="21" bestFit="1" customWidth="1"/>
    <col min="28" max="28" width="28.28515625" bestFit="1" customWidth="1"/>
    <col min="29" max="29" width="16.42578125" bestFit="1" customWidth="1"/>
    <col min="30" max="30" width="8.85546875" bestFit="1" customWidth="1"/>
    <col min="31" max="31" width="20" bestFit="1" customWidth="1"/>
    <col min="32" max="32" width="16.42578125" bestFit="1" customWidth="1"/>
    <col min="33" max="33" width="12" bestFit="1" customWidth="1"/>
    <col min="34" max="34" width="20" bestFit="1" customWidth="1"/>
    <col min="35" max="35" width="16.42578125" bestFit="1" customWidth="1"/>
    <col min="36" max="36" width="12" bestFit="1" customWidth="1"/>
    <col min="37" max="37" width="20" bestFit="1" customWidth="1"/>
    <col min="38" max="38" width="13.42578125" bestFit="1" customWidth="1"/>
    <col min="39" max="39" width="12" bestFit="1" customWidth="1"/>
    <col min="40" max="40" width="20" bestFit="1" customWidth="1"/>
    <col min="41" max="41" width="13.42578125" bestFit="1" customWidth="1"/>
    <col min="42" max="42" width="12" bestFit="1" customWidth="1"/>
    <col min="43" max="43" width="20" bestFit="1" customWidth="1"/>
    <col min="44" max="44" width="13.42578125" bestFit="1" customWidth="1"/>
    <col min="45" max="45" width="12" bestFit="1" customWidth="1"/>
    <col min="46" max="46" width="20" bestFit="1" customWidth="1"/>
    <col min="47" max="47" width="14.85546875" bestFit="1" customWidth="1"/>
    <col min="48" max="48" width="12" bestFit="1" customWidth="1"/>
    <col min="49" max="49" width="21" bestFit="1" customWidth="1"/>
    <col min="50" max="50" width="14.85546875" bestFit="1" customWidth="1"/>
    <col min="51" max="51" width="12" bestFit="1" customWidth="1"/>
    <col min="52" max="52" width="15.5703125" bestFit="1" customWidth="1"/>
    <col min="53" max="53" width="6.28515625" bestFit="1" customWidth="1"/>
    <col min="54" max="54" width="12.85546875" bestFit="1" customWidth="1"/>
    <col min="55" max="55" width="4.42578125" bestFit="1" customWidth="1"/>
  </cols>
  <sheetData>
    <row r="1" spans="1:52" x14ac:dyDescent="0.25">
      <c r="C1" s="1"/>
      <c r="D1" s="1"/>
      <c r="E1" s="2"/>
      <c r="F1" s="2"/>
      <c r="G1" s="2"/>
    </row>
    <row r="2" spans="1:52" x14ac:dyDescent="0.25">
      <c r="C2" s="1"/>
      <c r="D2" s="1" t="s">
        <v>200</v>
      </c>
      <c r="E2" s="2"/>
      <c r="F2" s="2"/>
      <c r="G2" s="2"/>
    </row>
    <row r="3" spans="1:52" x14ac:dyDescent="0.25">
      <c r="C3" s="1"/>
      <c r="D3" s="2" t="s">
        <v>34</v>
      </c>
      <c r="E3" s="2" t="s">
        <v>201</v>
      </c>
      <c r="F3" s="2"/>
      <c r="G3" s="2"/>
    </row>
    <row r="4" spans="1:52" x14ac:dyDescent="0.25">
      <c r="C4" s="2"/>
      <c r="D4" s="2" t="s">
        <v>35</v>
      </c>
      <c r="E4" s="191" t="s">
        <v>353</v>
      </c>
      <c r="F4" s="3"/>
      <c r="G4" s="2"/>
    </row>
    <row r="5" spans="1:52" x14ac:dyDescent="0.25">
      <c r="C5" s="2"/>
      <c r="D5" s="2"/>
      <c r="E5" s="2"/>
      <c r="F5" s="2"/>
      <c r="G5" s="2"/>
    </row>
    <row r="6" spans="1:52" x14ac:dyDescent="0.25">
      <c r="C6" s="6"/>
      <c r="D6" s="4"/>
      <c r="E6" s="4"/>
      <c r="F6" s="7"/>
      <c r="G6" s="4"/>
      <c r="AB6" s="114" t="s">
        <v>358</v>
      </c>
      <c r="AC6" s="205"/>
      <c r="AD6" s="104"/>
      <c r="AE6" s="104"/>
      <c r="AF6" s="205"/>
      <c r="AG6" s="104"/>
      <c r="AH6" s="104"/>
      <c r="AI6" s="205"/>
      <c r="AJ6" s="104"/>
      <c r="AK6" s="104"/>
      <c r="AL6" s="205"/>
      <c r="AM6" s="104"/>
      <c r="AN6" s="104"/>
      <c r="AO6" s="205"/>
      <c r="AP6" s="104"/>
      <c r="AQ6" s="104"/>
      <c r="AR6" s="205"/>
      <c r="AS6" s="104"/>
      <c r="AT6" s="104"/>
      <c r="AU6" s="205"/>
      <c r="AV6" s="104"/>
      <c r="AW6" s="104"/>
      <c r="AX6" s="205"/>
      <c r="AY6" s="104"/>
      <c r="AZ6">
        <f>SUM(AC6:AY6)</f>
        <v>0</v>
      </c>
    </row>
    <row r="7" spans="1:52" x14ac:dyDescent="0.25">
      <c r="C7" s="6"/>
      <c r="D7" s="4"/>
      <c r="E7" s="4"/>
      <c r="F7" s="8"/>
      <c r="G7" s="4"/>
      <c r="AB7" s="112" t="s">
        <v>147</v>
      </c>
      <c r="AC7" s="98">
        <f>IFERROR(ROUNDUP(AC9/VLOOKUP(AC8,'MASTER DATA'!$AG:$AH,2,FALSE),0),0)</f>
        <v>0</v>
      </c>
      <c r="AD7" s="94"/>
      <c r="AE7" s="94"/>
      <c r="AF7" s="98">
        <f>IFERROR(ROUNDUP(AF9/VLOOKUP(AF8,'MASTER DATA'!$AG:$AH,2,FALSE),0),0)</f>
        <v>0</v>
      </c>
      <c r="AG7" s="94"/>
      <c r="AH7" s="94"/>
      <c r="AI7" s="98">
        <f>IFERROR(ROUNDUP(AI9/VLOOKUP(AI8,'MASTER DATA'!$AG:$AH,2,FALSE),0),0)</f>
        <v>0</v>
      </c>
      <c r="AJ7" s="94"/>
      <c r="AK7" s="94"/>
      <c r="AL7" s="98">
        <f>IFERROR(ROUNDUP(AL9/VLOOKUP(AL8,'MASTER DATA'!$AG:$AH,2,FALSE),0),0)</f>
        <v>0</v>
      </c>
      <c r="AM7" s="94"/>
      <c r="AN7" s="94"/>
      <c r="AO7" s="98">
        <f>IFERROR(ROUNDUP(AO9/VLOOKUP(AO8,'MASTER DATA'!$AG:$AH,2,FALSE),0),0)</f>
        <v>0</v>
      </c>
      <c r="AP7" s="94"/>
      <c r="AQ7" s="94"/>
      <c r="AR7" s="98">
        <f>IFERROR(ROUNDUP(AR9/VLOOKUP(AR8,'MASTER DATA'!$AG:$AH,2,FALSE),0),0)</f>
        <v>0</v>
      </c>
      <c r="AS7" s="94"/>
      <c r="AT7" s="94"/>
      <c r="AU7" s="98">
        <f>IFERROR(ROUNDUP(AU9/VLOOKUP(AU8,'MASTER DATA'!$AG:$AH,2,FALSE),0),0)</f>
        <v>0</v>
      </c>
      <c r="AV7" s="94"/>
      <c r="AW7" s="94"/>
      <c r="AX7" s="98">
        <f>IFERROR(ROUNDUP(AX9/VLOOKUP(AX8,'MASTER DATA'!$AG:$AH,2,FALSE),0),0)</f>
        <v>0</v>
      </c>
      <c r="AY7" s="94"/>
      <c r="AZ7">
        <f>SUM(AC7:AY7)</f>
        <v>0</v>
      </c>
    </row>
    <row r="8" spans="1:52" x14ac:dyDescent="0.25">
      <c r="C8" s="6"/>
      <c r="D8" s="45" t="s">
        <v>36</v>
      </c>
      <c r="E8" s="46">
        <v>25</v>
      </c>
      <c r="F8" s="9"/>
      <c r="G8" s="4"/>
      <c r="AB8" s="113" t="s">
        <v>148</v>
      </c>
      <c r="AC8" s="95" t="s">
        <v>66</v>
      </c>
      <c r="AD8" s="94"/>
      <c r="AE8" s="94"/>
      <c r="AF8" s="95" t="s">
        <v>352</v>
      </c>
      <c r="AG8" s="94"/>
      <c r="AH8" s="94"/>
      <c r="AI8" s="95" t="s">
        <v>69</v>
      </c>
      <c r="AJ8" s="94"/>
      <c r="AK8" s="94"/>
      <c r="AL8" s="95" t="s">
        <v>348</v>
      </c>
      <c r="AM8" s="94"/>
      <c r="AN8" s="94"/>
      <c r="AO8" s="95" t="s">
        <v>62</v>
      </c>
      <c r="AP8" s="94"/>
      <c r="AQ8" s="94"/>
      <c r="AR8" s="95" t="s">
        <v>64</v>
      </c>
      <c r="AS8" s="94"/>
      <c r="AT8" s="94"/>
      <c r="AU8" s="95" t="s">
        <v>71</v>
      </c>
      <c r="AV8" s="94"/>
      <c r="AW8" s="94"/>
      <c r="AX8" s="95" t="s">
        <v>357</v>
      </c>
      <c r="AY8" s="94"/>
    </row>
    <row r="9" spans="1:52" x14ac:dyDescent="0.25">
      <c r="C9" s="6"/>
      <c r="D9" s="45" t="s">
        <v>37</v>
      </c>
      <c r="E9" s="46">
        <v>25</v>
      </c>
      <c r="F9" s="9"/>
      <c r="G9" s="2"/>
      <c r="S9" s="107"/>
      <c r="T9" s="107"/>
      <c r="AB9" s="114" t="s">
        <v>154</v>
      </c>
      <c r="AC9" s="103">
        <f>IFERROR(AC11/AC10,0)</f>
        <v>0</v>
      </c>
      <c r="AD9" s="104"/>
      <c r="AE9" s="104"/>
      <c r="AF9" s="103">
        <f>IFERROR(AF11/AF10,0)</f>
        <v>0</v>
      </c>
      <c r="AG9" s="104"/>
      <c r="AH9" s="104"/>
      <c r="AI9" s="103">
        <f>IFERROR(AI11/AI10,0)</f>
        <v>0</v>
      </c>
      <c r="AJ9" s="104"/>
      <c r="AK9" s="104"/>
      <c r="AL9" s="103">
        <f>IFERROR(AL11/AL10,0)</f>
        <v>0</v>
      </c>
      <c r="AM9" s="104"/>
      <c r="AN9" s="104"/>
      <c r="AO9" s="103">
        <f>IFERROR(AO11/AO10,0)</f>
        <v>0</v>
      </c>
      <c r="AP9" s="104"/>
      <c r="AQ9" s="104"/>
      <c r="AR9" s="103">
        <f>IFERROR(AR11/AR10,0)</f>
        <v>0</v>
      </c>
      <c r="AS9" s="104"/>
      <c r="AT9" s="104"/>
      <c r="AU9" s="103">
        <f>IFERROR(AU11/AU10,0)</f>
        <v>0</v>
      </c>
      <c r="AV9" s="104"/>
      <c r="AW9" s="104"/>
      <c r="AX9" s="103">
        <f>IFERROR(AX11/AX10,0)</f>
        <v>0</v>
      </c>
      <c r="AY9" s="104"/>
    </row>
    <row r="10" spans="1:52" x14ac:dyDescent="0.25">
      <c r="C10" s="1"/>
      <c r="D10" s="1"/>
      <c r="E10" s="5"/>
      <c r="F10" s="5"/>
      <c r="G10" s="2"/>
      <c r="S10" s="107"/>
      <c r="T10" s="107"/>
      <c r="AB10" s="115" t="s">
        <v>361</v>
      </c>
      <c r="AC10" s="96">
        <f>SUMIF('MASTER DATA'!$H:$H,'SETTING PRODUKSI SEPTEMBER AU'!AC$8&amp;"&amp;1",'MASTER DATA'!$M:$M)</f>
        <v>0.51</v>
      </c>
      <c r="AD10" s="94"/>
      <c r="AE10" s="94"/>
      <c r="AF10" s="96">
        <f>SUMIF('MASTER DATA'!$H:$H,'SETTING PRODUKSI SEPTEMBER AU'!AF$8&amp;"&amp;1",'MASTER DATA'!$M:$M)</f>
        <v>0.72000000000000008</v>
      </c>
      <c r="AG10" s="94"/>
      <c r="AH10" s="94"/>
      <c r="AI10" s="96">
        <f>SUMIF('MASTER DATA'!$H:$H,'SETTING PRODUKSI SEPTEMBER AU'!AI$8&amp;"&amp;1",'MASTER DATA'!$M:$M)</f>
        <v>0</v>
      </c>
      <c r="AJ10" s="94"/>
      <c r="AK10" s="94"/>
      <c r="AL10" s="96">
        <f>SUMIF('MASTER DATA'!$H:$H,'SETTING PRODUKSI SEPTEMBER AU'!AL$8&amp;"&amp;1",'MASTER DATA'!$M:$M)</f>
        <v>0</v>
      </c>
      <c r="AM10" s="94"/>
      <c r="AN10" s="94"/>
      <c r="AO10" s="96">
        <f>SUMIF('MASTER DATA'!$H:$H,'SETTING PRODUKSI SEPTEMBER AU'!AO$8&amp;"&amp;1",'MASTER DATA'!$M:$M)</f>
        <v>0</v>
      </c>
      <c r="AP10" s="94"/>
      <c r="AQ10" s="94"/>
      <c r="AR10" s="96">
        <f>SUMIF('MASTER DATA'!$H:$H,'SETTING PRODUKSI SEPTEMBER AU'!AR$8&amp;"&amp;1",'MASTER DATA'!$M:$M)</f>
        <v>0</v>
      </c>
      <c r="AS10" s="94"/>
      <c r="AT10" s="94"/>
      <c r="AU10" s="96">
        <f>SUMIF('MASTER DATA'!$H:$H,'SETTING PRODUKSI SEPTEMBER AU'!AU$8&amp;"&amp;1",'MASTER DATA'!$M:$M)</f>
        <v>0</v>
      </c>
      <c r="AV10" s="94"/>
      <c r="AW10" s="94"/>
      <c r="AX10" s="96">
        <f>SUMIF('MASTER DATA'!$H:$H,'SETTING PRODUKSI SEPTEMBER AU'!AX$8&amp;"&amp;1",'MASTER DATA'!$M:$M)</f>
        <v>0.74</v>
      </c>
      <c r="AY10" s="94"/>
    </row>
    <row r="11" spans="1:52" x14ac:dyDescent="0.25">
      <c r="C11" s="1"/>
      <c r="D11" s="1"/>
      <c r="E11" s="5"/>
      <c r="F11" s="5"/>
      <c r="G11" s="2"/>
      <c r="N11" s="100"/>
      <c r="S11" s="107"/>
      <c r="T11" s="107"/>
      <c r="W11" s="240" t="s">
        <v>153</v>
      </c>
      <c r="X11" s="240"/>
      <c r="Y11" s="240"/>
      <c r="Z11" s="240"/>
      <c r="AA11" s="241"/>
      <c r="AB11" s="116" t="s">
        <v>146</v>
      </c>
      <c r="AC11" s="97">
        <f>IFERROR(SUMIF(AB13:AB30,1,AA13:AA30)/3,0)</f>
        <v>0</v>
      </c>
      <c r="AD11" s="97"/>
      <c r="AE11" s="97"/>
      <c r="AF11" s="97">
        <f>SUMIF(AE13:AE30,1,AD13:AD30)*-1</f>
        <v>0</v>
      </c>
      <c r="AG11" s="97"/>
      <c r="AH11" s="97"/>
      <c r="AI11" s="97">
        <f>SUMIF(AH13:AH30,1,AG13:AG30)*-1</f>
        <v>0</v>
      </c>
      <c r="AJ11" s="97"/>
      <c r="AK11" s="97"/>
      <c r="AL11" s="97">
        <f>SUMIF(AK13:AK30,1,AJ13:AJ30)*-1</f>
        <v>2388.2411036439994</v>
      </c>
      <c r="AM11" s="97"/>
      <c r="AN11" s="97"/>
      <c r="AO11" s="97">
        <f>SUMIF(AN13:AN30,1,AM13:AM30)*-1</f>
        <v>0</v>
      </c>
      <c r="AP11" s="97"/>
      <c r="AQ11" s="97"/>
      <c r="AR11" s="97">
        <f>SUMIF(AQ13:AQ30,1,AP13:AP30)*-1</f>
        <v>0</v>
      </c>
      <c r="AS11" s="97"/>
      <c r="AT11" s="97"/>
      <c r="AU11" s="97">
        <f>SUMIF(AT13:AT30,1,AS13:AS30)*-1</f>
        <v>0</v>
      </c>
      <c r="AV11" s="97"/>
      <c r="AW11" s="97"/>
      <c r="AX11" s="97">
        <f>SUMIF(AW13:AW31,1,AD13:AD31)*-1</f>
        <v>0</v>
      </c>
      <c r="AY11" s="94"/>
    </row>
    <row r="12" spans="1:52" ht="30" customHeight="1" x14ac:dyDescent="0.25">
      <c r="B12" s="242" t="s">
        <v>135</v>
      </c>
      <c r="C12" s="242" t="s">
        <v>38</v>
      </c>
      <c r="D12" s="243" t="s">
        <v>39</v>
      </c>
      <c r="E12" s="243" t="s">
        <v>41</v>
      </c>
      <c r="F12" s="243" t="s">
        <v>354</v>
      </c>
      <c r="G12" s="244" t="s">
        <v>42</v>
      </c>
      <c r="H12" s="244"/>
      <c r="I12" s="245" t="s">
        <v>152</v>
      </c>
      <c r="J12" s="246"/>
      <c r="K12" s="247"/>
      <c r="L12" s="238" t="s">
        <v>117</v>
      </c>
      <c r="M12" s="238" t="s">
        <v>118</v>
      </c>
      <c r="N12" s="238" t="s">
        <v>52</v>
      </c>
      <c r="O12" s="239" t="s">
        <v>53</v>
      </c>
      <c r="P12" s="238" t="s">
        <v>134</v>
      </c>
      <c r="Q12" s="238" t="s">
        <v>143</v>
      </c>
      <c r="R12" s="238" t="s">
        <v>155</v>
      </c>
      <c r="S12" s="238" t="s">
        <v>329</v>
      </c>
      <c r="T12" s="207"/>
      <c r="U12" s="23"/>
      <c r="V12" s="15" t="s">
        <v>57</v>
      </c>
      <c r="W12" s="15" t="s">
        <v>355</v>
      </c>
      <c r="X12" s="15" t="s">
        <v>356</v>
      </c>
      <c r="Y12" s="15" t="s">
        <v>130</v>
      </c>
      <c r="Z12" s="15" t="s">
        <v>121</v>
      </c>
      <c r="AA12" s="88" t="s">
        <v>156</v>
      </c>
      <c r="AB12" s="15" t="s">
        <v>144</v>
      </c>
      <c r="AC12" s="15" t="s">
        <v>157</v>
      </c>
      <c r="AD12" s="15" t="s">
        <v>123</v>
      </c>
      <c r="AE12" s="15" t="s">
        <v>144</v>
      </c>
      <c r="AF12" s="15" t="s">
        <v>157</v>
      </c>
      <c r="AG12" s="15" t="s">
        <v>123</v>
      </c>
      <c r="AH12" s="15" t="s">
        <v>144</v>
      </c>
      <c r="AI12" s="15" t="s">
        <v>157</v>
      </c>
      <c r="AJ12" s="15" t="s">
        <v>123</v>
      </c>
      <c r="AK12" s="15" t="s">
        <v>144</v>
      </c>
      <c r="AL12" s="15" t="s">
        <v>158</v>
      </c>
      <c r="AM12" s="15" t="s">
        <v>123</v>
      </c>
      <c r="AN12" s="15" t="s">
        <v>144</v>
      </c>
      <c r="AO12" s="15" t="s">
        <v>158</v>
      </c>
      <c r="AP12" s="15" t="s">
        <v>123</v>
      </c>
      <c r="AQ12" s="15" t="s">
        <v>144</v>
      </c>
      <c r="AR12" s="15" t="s">
        <v>158</v>
      </c>
      <c r="AS12" s="15" t="s">
        <v>123</v>
      </c>
      <c r="AT12" s="15" t="s">
        <v>144</v>
      </c>
      <c r="AU12" s="15" t="s">
        <v>159</v>
      </c>
      <c r="AV12" s="15" t="s">
        <v>123</v>
      </c>
      <c r="AW12" s="15" t="s">
        <v>145</v>
      </c>
      <c r="AX12" s="15" t="s">
        <v>159</v>
      </c>
      <c r="AY12" s="15" t="s">
        <v>123</v>
      </c>
    </row>
    <row r="13" spans="1:52" ht="15" customHeight="1" x14ac:dyDescent="0.25">
      <c r="B13" s="242"/>
      <c r="C13" s="242"/>
      <c r="D13" s="243"/>
      <c r="E13" s="243"/>
      <c r="F13" s="243"/>
      <c r="G13" s="56" t="s">
        <v>43</v>
      </c>
      <c r="H13" s="57" t="s">
        <v>40</v>
      </c>
      <c r="I13" s="189" t="s">
        <v>149</v>
      </c>
      <c r="J13" s="192" t="s">
        <v>150</v>
      </c>
      <c r="K13" s="192" t="s">
        <v>151</v>
      </c>
      <c r="L13" s="238"/>
      <c r="M13" s="238"/>
      <c r="N13" s="238"/>
      <c r="O13" s="239"/>
      <c r="P13" s="238"/>
      <c r="Q13" s="238"/>
      <c r="R13" s="238"/>
      <c r="S13" s="238"/>
      <c r="T13" s="207"/>
      <c r="U13" s="34">
        <v>0.3</v>
      </c>
      <c r="V13" s="18" t="s">
        <v>63</v>
      </c>
      <c r="W13" s="203"/>
      <c r="X13" s="203">
        <f>SUMIF($N$84:$N$106,U13,$O$84:$O$106)</f>
        <v>0</v>
      </c>
      <c r="Y13" s="203"/>
      <c r="Z13" s="203"/>
      <c r="AA13" s="203">
        <f>SUM(W13:Z13)</f>
        <v>0</v>
      </c>
      <c r="AB13" s="38"/>
      <c r="AC13" s="60">
        <f>IF(AC$6="",IFERROR(VLOOKUP((AC$8&amp;"&amp;"&amp;$V13),'MASTER DATA'!$G:$M,7,FALSE)*AC$7*(VLOOKUP(AC$8,'MASTER DATA'!$AG:$AH,2,FALSE)),0),IFERROR(VLOOKUP((AC$8&amp;"&amp;"&amp;$V13),'MASTER DATA'!$G:$M,7,FALSE)*AC$6*(VLOOKUP(AC$8,'MASTER DATA'!$AG:$AH,2,FALSE)),0))</f>
        <v>0</v>
      </c>
      <c r="AD13" s="60">
        <f t="shared" ref="AD13:AD30" si="0">AC13-AA13</f>
        <v>0</v>
      </c>
      <c r="AE13" s="38"/>
      <c r="AF13" s="60">
        <f>IF(AF$6="",IFERROR(VLOOKUP((AF$8&amp;"&amp;"&amp;$V13),'MASTER DATA'!$G:$M,7,FALSE)*AF$7*(VLOOKUP(AF$8,'MASTER DATA'!$AG:$AH,2,FALSE)),0),IFERROR(VLOOKUP((AF$8&amp;"&amp;"&amp;$V13),'MASTER DATA'!$G:$M,7,FALSE)*AF$6*(VLOOKUP(AF$8,'MASTER DATA'!$AG:$AH,2,FALSE)),0))</f>
        <v>0</v>
      </c>
      <c r="AG13" s="60">
        <f>AF13+AD13</f>
        <v>0</v>
      </c>
      <c r="AH13" s="38"/>
      <c r="AI13" s="60">
        <f>IF(AI$6="",IFERROR(VLOOKUP((AI$8&amp;"&amp;"&amp;$V13),'MASTER DATA'!$G:$M,7,FALSE)*AI$7*(VLOOKUP(AI$8,'MASTER DATA'!$AG:$AH,2,FALSE)),0),IFERROR(VLOOKUP((AI$8&amp;"&amp;"&amp;$V13),'MASTER DATA'!$G:$M,7,FALSE)*AI$6*(VLOOKUP(AI$8,'MASTER DATA'!$AG:$AH,2,FALSE)),0))</f>
        <v>0</v>
      </c>
      <c r="AJ13" s="60">
        <f>AI13+AG13</f>
        <v>0</v>
      </c>
      <c r="AK13" s="38"/>
      <c r="AL13" s="60">
        <f>IF(AL$6="",IFERROR(VLOOKUP((AL$8&amp;"&amp;"&amp;$V13),'MASTER DATA'!$G:$M,7,FALSE)*AL$7*(VLOOKUP(AL$8,'MASTER DATA'!$AG:$AH,2,FALSE)),0),IFERROR(VLOOKUP((AL$8&amp;"&amp;"&amp;$V13),'MASTER DATA'!$G:$M,7,FALSE)*AL$6*(VLOOKUP(AL$8,'MASTER DATA'!$AG:$AH,2,FALSE)),0))</f>
        <v>0</v>
      </c>
      <c r="AM13" s="60">
        <f>AL13+AJ13</f>
        <v>0</v>
      </c>
      <c r="AN13" s="38"/>
      <c r="AO13" s="60">
        <f>IF(AO$6="",IFERROR(VLOOKUP((AO$8&amp;"&amp;"&amp;$V13),'MASTER DATA'!$G:$M,7,FALSE)*AO$7*(VLOOKUP(AO$8,'MASTER DATA'!$AG:$AH,2,FALSE)),0),IFERROR(VLOOKUP((AO$8&amp;"&amp;"&amp;$V13),'MASTER DATA'!$G:$M,7,FALSE)*AO$6*(VLOOKUP(AO$8,'MASTER DATA'!$AG:$AH,2,FALSE)),0))</f>
        <v>0</v>
      </c>
      <c r="AP13" s="60">
        <f>AO13+AM13</f>
        <v>0</v>
      </c>
      <c r="AQ13" s="38"/>
      <c r="AR13" s="60">
        <f>IF(AR$6="",IFERROR(VLOOKUP((AR$8&amp;"&amp;"&amp;$V13),'MASTER DATA'!$G:$M,7,FALSE)*AR$7*(VLOOKUP(AR$8,'MASTER DATA'!$AG:$AH,2,FALSE)),0),IFERROR(VLOOKUP((AR$8&amp;"&amp;"&amp;$V13),'MASTER DATA'!$G:$M,7,FALSE)*AR$6*(VLOOKUP(AR$8,'MASTER DATA'!$AG:$AH,2,FALSE)),0))</f>
        <v>0</v>
      </c>
      <c r="AS13" s="60">
        <f>AR13+AP13</f>
        <v>0</v>
      </c>
      <c r="AT13" s="38"/>
      <c r="AU13" s="60">
        <f>IF(AU$6="",IFERROR(VLOOKUP((AU$8&amp;"&amp;"&amp;$V13),'MASTER DATA'!$G:$M,7,FALSE)*AU$7*(VLOOKUP(AU$8,'MASTER DATA'!$AG:$AH,2,FALSE)),0),IFERROR(VLOOKUP((AU$8&amp;"&amp;"&amp;$V13),'MASTER DATA'!$G:$M,7,FALSE)*AU$6*(VLOOKUP(AU$8,'MASTER DATA'!$AG:$AH,2,FALSE)),0))</f>
        <v>0</v>
      </c>
      <c r="AV13" s="60">
        <f>AU13+AS13</f>
        <v>0</v>
      </c>
      <c r="AW13" s="60"/>
      <c r="AX13" s="60">
        <f>IF(AX$6="",IFERROR(VLOOKUP((AX$8&amp;"&amp;"&amp;$V13),'MASTER DATA'!$G:$M,7,FALSE)*AX$7*(VLOOKUP(AX$8,'MASTER DATA'!$AG:$AH,2,FALSE)),0),IFERROR(VLOOKUP((AX$8&amp;"&amp;"&amp;$V13),'MASTER DATA'!$G:$M,7,FALSE)*AX$6*(VLOOKUP(AX$8,'MASTER DATA'!$AG:$AH,2,FALSE)),0))</f>
        <v>0</v>
      </c>
      <c r="AY13" s="60">
        <f>AX13+AV13</f>
        <v>0</v>
      </c>
    </row>
    <row r="14" spans="1:52" x14ac:dyDescent="0.25">
      <c r="B14" s="195"/>
      <c r="C14" s="195" t="s">
        <v>119</v>
      </c>
      <c r="D14" s="106"/>
      <c r="E14" s="106"/>
      <c r="F14" s="194"/>
      <c r="G14" s="56"/>
      <c r="H14" s="57"/>
      <c r="I14" s="57"/>
      <c r="J14" s="192"/>
      <c r="K14" s="192"/>
      <c r="L14" s="193"/>
      <c r="M14" s="193"/>
      <c r="N14" s="193"/>
      <c r="O14" s="196"/>
      <c r="P14" s="193"/>
      <c r="Q14" s="196"/>
      <c r="R14" s="53"/>
      <c r="S14" s="53"/>
      <c r="T14" s="107"/>
      <c r="U14" s="27">
        <v>0.4</v>
      </c>
      <c r="V14" s="25" t="s">
        <v>65</v>
      </c>
      <c r="W14" s="36"/>
      <c r="X14" s="36">
        <f t="shared" ref="X14:X30" si="1">SUMIF($N$84:$N$106,U14,$O$84:$O$106)</f>
        <v>158.4760988593498</v>
      </c>
      <c r="Y14" s="36"/>
      <c r="Z14" s="36"/>
      <c r="AA14" s="36">
        <f t="shared" ref="AA14:AA30" si="2">SUM(W14:Z14)</f>
        <v>158.4760988593498</v>
      </c>
      <c r="AB14" s="38"/>
      <c r="AC14" s="60">
        <f>IF(AC$6="",IFERROR(VLOOKUP((AC$8&amp;"&amp;"&amp;$V14),'MASTER DATA'!$G:$M,7,FALSE)*AC$7*(VLOOKUP(AC$8,'MASTER DATA'!$AG:$AH,2,FALSE)),0),IFERROR(VLOOKUP((AC$8&amp;"&amp;"&amp;$V14),'MASTER DATA'!$G:$M,7,FALSE)*AC$6*(VLOOKUP(AC$8,'MASTER DATA'!$AG:$AH,2,FALSE)),0))</f>
        <v>0</v>
      </c>
      <c r="AD14" s="60">
        <f t="shared" si="0"/>
        <v>-158.4760988593498</v>
      </c>
      <c r="AE14" s="38"/>
      <c r="AF14" s="60">
        <f>IF(AF$6="",IFERROR(VLOOKUP((AF$8&amp;"&amp;"&amp;$V14),'MASTER DATA'!$G:$M,7,FALSE)*AF$7*(VLOOKUP(AF$8,'MASTER DATA'!$AG:$AH,2,FALSE)),0),IFERROR(VLOOKUP((AF$8&amp;"&amp;"&amp;$V14),'MASTER DATA'!$G:$M,7,FALSE)*AF$6*(VLOOKUP(AF$8,'MASTER DATA'!$AG:$AH,2,FALSE)),0))</f>
        <v>0</v>
      </c>
      <c r="AG14" s="60">
        <f t="shared" ref="AG14:AG30" si="3">AF14+AD14</f>
        <v>-158.4760988593498</v>
      </c>
      <c r="AH14" s="38"/>
      <c r="AI14" s="60">
        <f>IF(AI$6="",IFERROR(VLOOKUP((AI$8&amp;"&amp;"&amp;$V14),'MASTER DATA'!$G:$M,7,FALSE)*AI$7*(VLOOKUP(AI$8,'MASTER DATA'!$AG:$AH,2,FALSE)),0),IFERROR(VLOOKUP((AI$8&amp;"&amp;"&amp;$V14),'MASTER DATA'!$G:$M,7,FALSE)*AI$6*(VLOOKUP(AI$8,'MASTER DATA'!$AG:$AH,2,FALSE)),0))</f>
        <v>0</v>
      </c>
      <c r="AJ14" s="60">
        <f t="shared" ref="AJ14:AJ30" si="4">AI14+AG14</f>
        <v>-158.4760988593498</v>
      </c>
      <c r="AK14" s="38"/>
      <c r="AL14" s="60">
        <f>IF(AL$6="",IFERROR(VLOOKUP((AL$8&amp;"&amp;"&amp;$V14),'MASTER DATA'!$G:$M,7,FALSE)*AL$7*(VLOOKUP(AL$8,'MASTER DATA'!$AG:$AH,2,FALSE)),0),IFERROR(VLOOKUP((AL$8&amp;"&amp;"&amp;$V14),'MASTER DATA'!$G:$M,7,FALSE)*AL$6*(VLOOKUP(AL$8,'MASTER DATA'!$AG:$AH,2,FALSE)),0))</f>
        <v>0</v>
      </c>
      <c r="AM14" s="60">
        <f t="shared" ref="AM14:AM30" si="5">AL14+AJ14</f>
        <v>-158.4760988593498</v>
      </c>
      <c r="AN14" s="38"/>
      <c r="AO14" s="60">
        <f>IF(AO$6="",IFERROR(VLOOKUP((AO$8&amp;"&amp;"&amp;$V14),'MASTER DATA'!$G:$M,7,FALSE)*AO$7*(VLOOKUP(AO$8,'MASTER DATA'!$AG:$AH,2,FALSE)),0),IFERROR(VLOOKUP((AO$8&amp;"&amp;"&amp;$V14),'MASTER DATA'!$G:$M,7,FALSE)*AO$6*(VLOOKUP(AO$8,'MASTER DATA'!$AG:$AH,2,FALSE)),0))</f>
        <v>0</v>
      </c>
      <c r="AP14" s="60">
        <f t="shared" ref="AP14:AP30" si="6">AO14+AM14</f>
        <v>-158.4760988593498</v>
      </c>
      <c r="AQ14" s="38"/>
      <c r="AR14" s="60">
        <f>IF(AR$6="",IFERROR(VLOOKUP((AR$8&amp;"&amp;"&amp;$V14),'MASTER DATA'!$G:$M,7,FALSE)*AR$7*(VLOOKUP(AR$8,'MASTER DATA'!$AG:$AH,2,FALSE)),0),IFERROR(VLOOKUP((AR$8&amp;"&amp;"&amp;$V14),'MASTER DATA'!$G:$M,7,FALSE)*AR$6*(VLOOKUP(AR$8,'MASTER DATA'!$AG:$AH,2,FALSE)),0))</f>
        <v>0</v>
      </c>
      <c r="AS14" s="60">
        <f t="shared" ref="AS14:AS30" si="7">AR14+AP14</f>
        <v>-158.4760988593498</v>
      </c>
      <c r="AT14" s="38"/>
      <c r="AU14" s="60">
        <f>IF(AU$6="",IFERROR(VLOOKUP((AU$8&amp;"&amp;"&amp;$V14),'MASTER DATA'!$G:$M,7,FALSE)*AU$7*(VLOOKUP(AU$8,'MASTER DATA'!$AG:$AH,2,FALSE)),0),IFERROR(VLOOKUP((AU$8&amp;"&amp;"&amp;$V14),'MASTER DATA'!$G:$M,7,FALSE)*AU$6*(VLOOKUP(AU$8,'MASTER DATA'!$AG:$AH,2,FALSE)),0))</f>
        <v>0</v>
      </c>
      <c r="AV14" s="60">
        <f t="shared" ref="AV14:AV30" si="8">AU14+AS14</f>
        <v>-158.4760988593498</v>
      </c>
      <c r="AW14" s="60"/>
      <c r="AX14" s="60">
        <f>IF(AX$6="",IFERROR(VLOOKUP((AX$8&amp;"&amp;"&amp;$V14),'MASTER DATA'!$G:$M,7,FALSE)*AX$7*(VLOOKUP(AX$8,'MASTER DATA'!$AG:$AH,2,FALSE)),0),IFERROR(VLOOKUP((AX$8&amp;"&amp;"&amp;$V14),'MASTER DATA'!$G:$M,7,FALSE)*AX$6*(VLOOKUP(AX$8,'MASTER DATA'!$AG:$AH,2,FALSE)),0))</f>
        <v>0</v>
      </c>
      <c r="AY14" s="60">
        <f t="shared" ref="AY14:AY30" si="9">AX14+AV14</f>
        <v>-158.4760988593498</v>
      </c>
    </row>
    <row r="15" spans="1:52" x14ac:dyDescent="0.25">
      <c r="A15" s="71"/>
      <c r="B15" s="37"/>
      <c r="C15" s="37" t="s">
        <v>2</v>
      </c>
      <c r="D15" s="38" t="s">
        <v>3</v>
      </c>
      <c r="E15" s="99">
        <v>1.2714602446115275</v>
      </c>
      <c r="F15" s="99">
        <v>1.11924</v>
      </c>
      <c r="G15" s="38">
        <v>0</v>
      </c>
      <c r="H15" s="39">
        <f t="shared" ref="H15:H78" si="10">(E15/$E$8)*G15</f>
        <v>0</v>
      </c>
      <c r="I15" s="39"/>
      <c r="J15" s="38">
        <f>SUMIF('KIRIM ANTAR UNIT'!B:B,'SETTING PRODUKSI SEPTEMBER AU'!C15,'KIRIM ANTAR UNIT'!E:E)</f>
        <v>0</v>
      </c>
      <c r="K15" s="38">
        <f>SUMIF('KIRIM ANTAR UNIT'!B:B,'SETTING PRODUKSI SEPTEMBER AU'!C15,'KIRIM ANTAR UNIT'!F:F)</f>
        <v>0</v>
      </c>
      <c r="L15" s="40">
        <f t="shared" ref="L15:L30" si="11">IF(((E15-F15)+(H15)-(J15)+(K15)-I15)&lt;0,0,((E15-F15)+(H15)-(J15)+(K15)-I15))</f>
        <v>0.1522202446115275</v>
      </c>
      <c r="M15" s="40">
        <f t="shared" ref="M15:M78" si="12">IF(L15&lt;0,0,L15/$E$9)</f>
        <v>6.0888097844611E-3</v>
      </c>
      <c r="N15" s="41">
        <f>VLOOKUP(C15,'MASTER DATA'!B:D,3,0)</f>
        <v>1</v>
      </c>
      <c r="O15" s="77">
        <f t="shared" ref="O15:O78" si="13">IFERROR(IF(M15&lt;0,0,(M15*1000)/N15),0)</f>
        <v>6.0888097844611</v>
      </c>
      <c r="P15" s="42">
        <f t="shared" ref="P15:P78" si="14">L15+F15+J15-K15-E15+I15</f>
        <v>0</v>
      </c>
      <c r="Q15" s="77">
        <f>P15/(E15/$E$8)</f>
        <v>0</v>
      </c>
      <c r="R15" s="38"/>
      <c r="S15" s="38"/>
      <c r="U15" s="27">
        <v>0.5</v>
      </c>
      <c r="V15" s="26" t="s">
        <v>67</v>
      </c>
      <c r="W15" s="36"/>
      <c r="X15" s="36">
        <f t="shared" si="1"/>
        <v>381.01449802831314</v>
      </c>
      <c r="Y15" s="36"/>
      <c r="Z15" s="36"/>
      <c r="AA15" s="36">
        <f t="shared" si="2"/>
        <v>381.01449802831314</v>
      </c>
      <c r="AB15" s="38"/>
      <c r="AC15" s="60">
        <f>IF(AC$6="",IFERROR(VLOOKUP((AC$8&amp;"&amp;"&amp;$V15),'MASTER DATA'!$G:$M,7,FALSE)*AC$7*(VLOOKUP(AC$8,'MASTER DATA'!$AG:$AH,2,FALSE)),0),IFERROR(VLOOKUP((AC$8&amp;"&amp;"&amp;$V15),'MASTER DATA'!$G:$M,7,FALSE)*AC$6*(VLOOKUP(AC$8,'MASTER DATA'!$AG:$AH,2,FALSE)),0))</f>
        <v>0</v>
      </c>
      <c r="AD15" s="60">
        <f t="shared" si="0"/>
        <v>-381.01449802831314</v>
      </c>
      <c r="AE15" s="38"/>
      <c r="AF15" s="60">
        <f>IF(AF$6="",IFERROR(VLOOKUP((AF$8&amp;"&amp;"&amp;$V15),'MASTER DATA'!$G:$M,7,FALSE)*AF$7*(VLOOKUP(AF$8,'MASTER DATA'!$AG:$AH,2,FALSE)),0),IFERROR(VLOOKUP((AF$8&amp;"&amp;"&amp;$V15),'MASTER DATA'!$G:$M,7,FALSE)*AF$6*(VLOOKUP(AF$8,'MASTER DATA'!$AG:$AH,2,FALSE)),0))</f>
        <v>0</v>
      </c>
      <c r="AG15" s="60">
        <f t="shared" si="3"/>
        <v>-381.01449802831314</v>
      </c>
      <c r="AH15" s="38"/>
      <c r="AI15" s="60">
        <f>IF(AI$6="",IFERROR(VLOOKUP((AI$8&amp;"&amp;"&amp;$V15),'MASTER DATA'!$G:$M,7,FALSE)*AI$7*(VLOOKUP(AI$8,'MASTER DATA'!$AG:$AH,2,FALSE)),0),IFERROR(VLOOKUP((AI$8&amp;"&amp;"&amp;$V15),'MASTER DATA'!$G:$M,7,FALSE)*AI$6*(VLOOKUP(AI$8,'MASTER DATA'!$AG:$AH,2,FALSE)),0))</f>
        <v>0</v>
      </c>
      <c r="AJ15" s="60">
        <f t="shared" si="4"/>
        <v>-381.01449802831314</v>
      </c>
      <c r="AK15" s="38"/>
      <c r="AL15" s="60">
        <f>IF(AL$6="",IFERROR(VLOOKUP((AL$8&amp;"&amp;"&amp;$V15),'MASTER DATA'!$G:$M,7,FALSE)*AL$7*(VLOOKUP(AL$8,'MASTER DATA'!$AG:$AH,2,FALSE)),0),IFERROR(VLOOKUP((AL$8&amp;"&amp;"&amp;$V15),'MASTER DATA'!$G:$M,7,FALSE)*AL$6*(VLOOKUP(AL$8,'MASTER DATA'!$AG:$AH,2,FALSE)),0))</f>
        <v>0</v>
      </c>
      <c r="AM15" s="60">
        <f t="shared" si="5"/>
        <v>-381.01449802831314</v>
      </c>
      <c r="AN15" s="38"/>
      <c r="AO15" s="60">
        <f>IF(AO$6="",IFERROR(VLOOKUP((AO$8&amp;"&amp;"&amp;$V15),'MASTER DATA'!$G:$M,7,FALSE)*AO$7*(VLOOKUP(AO$8,'MASTER DATA'!$AG:$AH,2,FALSE)),0),IFERROR(VLOOKUP((AO$8&amp;"&amp;"&amp;$V15),'MASTER DATA'!$G:$M,7,FALSE)*AO$6*(VLOOKUP(AO$8,'MASTER DATA'!$AG:$AH,2,FALSE)),0))</f>
        <v>0</v>
      </c>
      <c r="AP15" s="60">
        <f t="shared" si="6"/>
        <v>-381.01449802831314</v>
      </c>
      <c r="AQ15" s="38"/>
      <c r="AR15" s="60">
        <f>IF(AR$6="",IFERROR(VLOOKUP((AR$8&amp;"&amp;"&amp;$V15),'MASTER DATA'!$G:$M,7,FALSE)*AR$7*(VLOOKUP(AR$8,'MASTER DATA'!$AG:$AH,2,FALSE)),0),IFERROR(VLOOKUP((AR$8&amp;"&amp;"&amp;$V15),'MASTER DATA'!$G:$M,7,FALSE)*AR$6*(VLOOKUP(AR$8,'MASTER DATA'!$AG:$AH,2,FALSE)),0))</f>
        <v>0</v>
      </c>
      <c r="AS15" s="60">
        <f t="shared" si="7"/>
        <v>-381.01449802831314</v>
      </c>
      <c r="AT15" s="38"/>
      <c r="AU15" s="60">
        <f>IF(AU$6="",IFERROR(VLOOKUP((AU$8&amp;"&amp;"&amp;$V15),'MASTER DATA'!$G:$M,7,FALSE)*AU$7*(VLOOKUP(AU$8,'MASTER DATA'!$AG:$AH,2,FALSE)),0),IFERROR(VLOOKUP((AU$8&amp;"&amp;"&amp;$V15),'MASTER DATA'!$G:$M,7,FALSE)*AU$6*(VLOOKUP(AU$8,'MASTER DATA'!$AG:$AH,2,FALSE)),0))</f>
        <v>0</v>
      </c>
      <c r="AV15" s="60">
        <f t="shared" si="8"/>
        <v>-381.01449802831314</v>
      </c>
      <c r="AW15" s="60"/>
      <c r="AX15" s="60">
        <f>IF(AX$6="",IFERROR(VLOOKUP((AX$8&amp;"&amp;"&amp;$V15),'MASTER DATA'!$G:$M,7,FALSE)*AX$7*(VLOOKUP(AX$8,'MASTER DATA'!$AG:$AH,2,FALSE)),0),IFERROR(VLOOKUP((AX$8&amp;"&amp;"&amp;$V15),'MASTER DATA'!$G:$M,7,FALSE)*AX$6*(VLOOKUP(AX$8,'MASTER DATA'!$AG:$AH,2,FALSE)),0))</f>
        <v>0</v>
      </c>
      <c r="AY15" s="60">
        <f t="shared" si="9"/>
        <v>-381.01449802831314</v>
      </c>
    </row>
    <row r="16" spans="1:52" x14ac:dyDescent="0.25">
      <c r="A16" s="71"/>
      <c r="B16" s="38"/>
      <c r="C16" s="38" t="s">
        <v>24</v>
      </c>
      <c r="D16" s="38" t="s">
        <v>25</v>
      </c>
      <c r="E16" s="99">
        <v>22.201271599999998</v>
      </c>
      <c r="F16" s="99">
        <v>1.4166999999999998</v>
      </c>
      <c r="G16" s="38">
        <v>7</v>
      </c>
      <c r="H16" s="39">
        <f t="shared" si="10"/>
        <v>6.2163560479999989</v>
      </c>
      <c r="I16" s="39"/>
      <c r="J16" s="38">
        <f>SUMIF('KIRIM ANTAR UNIT'!B:B,'SETTING PRODUKSI SEPTEMBER AU'!C16,'KIRIM ANTAR UNIT'!E:E)</f>
        <v>0</v>
      </c>
      <c r="K16" s="38">
        <f>SUMIF('KIRIM ANTAR UNIT'!B:B,'SETTING PRODUKSI SEPTEMBER AU'!C16,'KIRIM ANTAR UNIT'!F:F)</f>
        <v>0</v>
      </c>
      <c r="L16" s="40">
        <f t="shared" si="11"/>
        <v>27.000927647999998</v>
      </c>
      <c r="M16" s="40">
        <f t="shared" si="12"/>
        <v>1.0800371059199998</v>
      </c>
      <c r="N16" s="41">
        <f>VLOOKUP(C16,'MASTER DATA'!B:D,3,0)</f>
        <v>1.1000000000000001</v>
      </c>
      <c r="O16" s="77">
        <f t="shared" si="13"/>
        <v>981.85191447272689</v>
      </c>
      <c r="P16" s="42">
        <f t="shared" si="14"/>
        <v>6.216356047999998</v>
      </c>
      <c r="Q16" s="77">
        <f t="shared" ref="Q16:Q79" si="15">P16/(E16/$E$8)</f>
        <v>6.9999999999999982</v>
      </c>
      <c r="R16" s="38"/>
      <c r="S16" s="38"/>
      <c r="U16" s="27">
        <v>0.6</v>
      </c>
      <c r="V16" s="25" t="s">
        <v>68</v>
      </c>
      <c r="W16" s="36"/>
      <c r="X16" s="36">
        <f t="shared" si="1"/>
        <v>537.52968246242904</v>
      </c>
      <c r="Y16" s="36"/>
      <c r="Z16" s="36"/>
      <c r="AA16" s="36">
        <f t="shared" si="2"/>
        <v>537.52968246242904</v>
      </c>
      <c r="AB16" s="38"/>
      <c r="AC16" s="60">
        <f>IF(AC$6="",IFERROR(VLOOKUP((AC$8&amp;"&amp;"&amp;$V16),'MASTER DATA'!$G:$M,7,FALSE)*AC$7*(VLOOKUP(AC$8,'MASTER DATA'!$AG:$AH,2,FALSE)),0),IFERROR(VLOOKUP((AC$8&amp;"&amp;"&amp;$V16),'MASTER DATA'!$G:$M,7,FALSE)*AC$6*(VLOOKUP(AC$8,'MASTER DATA'!$AG:$AH,2,FALSE)),0))</f>
        <v>0</v>
      </c>
      <c r="AD16" s="60">
        <f t="shared" si="0"/>
        <v>-537.52968246242904</v>
      </c>
      <c r="AE16" s="38"/>
      <c r="AF16" s="60">
        <f>IF(AF$6="",IFERROR(VLOOKUP((AF$8&amp;"&amp;"&amp;$V16),'MASTER DATA'!$G:$M,7,FALSE)*AF$7*(VLOOKUP(AF$8,'MASTER DATA'!$AG:$AH,2,FALSE)),0),IFERROR(VLOOKUP((AF$8&amp;"&amp;"&amp;$V16),'MASTER DATA'!$G:$M,7,FALSE)*AF$6*(VLOOKUP(AF$8,'MASTER DATA'!$AG:$AH,2,FALSE)),0))</f>
        <v>0</v>
      </c>
      <c r="AG16" s="60">
        <f t="shared" si="3"/>
        <v>-537.52968246242904</v>
      </c>
      <c r="AH16" s="38"/>
      <c r="AI16" s="60">
        <f>IF(AI$6="",IFERROR(VLOOKUP((AI$8&amp;"&amp;"&amp;$V16),'MASTER DATA'!$G:$M,7,FALSE)*AI$7*(VLOOKUP(AI$8,'MASTER DATA'!$AG:$AH,2,FALSE)),0),IFERROR(VLOOKUP((AI$8&amp;"&amp;"&amp;$V16),'MASTER DATA'!$G:$M,7,FALSE)*AI$6*(VLOOKUP(AI$8,'MASTER DATA'!$AG:$AH,2,FALSE)),0))</f>
        <v>0</v>
      </c>
      <c r="AJ16" s="60">
        <f t="shared" si="4"/>
        <v>-537.52968246242904</v>
      </c>
      <c r="AK16" s="38"/>
      <c r="AL16" s="60">
        <f>IF(AL$6="",IFERROR(VLOOKUP((AL$8&amp;"&amp;"&amp;$V16),'MASTER DATA'!$G:$M,7,FALSE)*AL$7*(VLOOKUP(AL$8,'MASTER DATA'!$AG:$AH,2,FALSE)),0),IFERROR(VLOOKUP((AL$8&amp;"&amp;"&amp;$V16),'MASTER DATA'!$G:$M,7,FALSE)*AL$6*(VLOOKUP(AL$8,'MASTER DATA'!$AG:$AH,2,FALSE)),0))</f>
        <v>0</v>
      </c>
      <c r="AM16" s="60">
        <f t="shared" si="5"/>
        <v>-537.52968246242904</v>
      </c>
      <c r="AN16" s="38"/>
      <c r="AO16" s="60">
        <f>IF(AO$6="",IFERROR(VLOOKUP((AO$8&amp;"&amp;"&amp;$V16),'MASTER DATA'!$G:$M,7,FALSE)*AO$7*(VLOOKUP(AO$8,'MASTER DATA'!$AG:$AH,2,FALSE)),0),IFERROR(VLOOKUP((AO$8&amp;"&amp;"&amp;$V16),'MASTER DATA'!$G:$M,7,FALSE)*AO$6*(VLOOKUP(AO$8,'MASTER DATA'!$AG:$AH,2,FALSE)),0))</f>
        <v>0</v>
      </c>
      <c r="AP16" s="60">
        <f t="shared" si="6"/>
        <v>-537.52968246242904</v>
      </c>
      <c r="AQ16" s="38"/>
      <c r="AR16" s="60">
        <f>IF(AR$6="",IFERROR(VLOOKUP((AR$8&amp;"&amp;"&amp;$V16),'MASTER DATA'!$G:$M,7,FALSE)*AR$7*(VLOOKUP(AR$8,'MASTER DATA'!$AG:$AH,2,FALSE)),0),IFERROR(VLOOKUP((AR$8&amp;"&amp;"&amp;$V16),'MASTER DATA'!$G:$M,7,FALSE)*AR$6*(VLOOKUP(AR$8,'MASTER DATA'!$AG:$AH,2,FALSE)),0))</f>
        <v>0</v>
      </c>
      <c r="AS16" s="60">
        <f t="shared" si="7"/>
        <v>-537.52968246242904</v>
      </c>
      <c r="AT16" s="38"/>
      <c r="AU16" s="60">
        <f>IF(AU$6="",IFERROR(VLOOKUP((AU$8&amp;"&amp;"&amp;$V16),'MASTER DATA'!$G:$M,7,FALSE)*AU$7*(VLOOKUP(AU$8,'MASTER DATA'!$AG:$AH,2,FALSE)),0),IFERROR(VLOOKUP((AU$8&amp;"&amp;"&amp;$V16),'MASTER DATA'!$G:$M,7,FALSE)*AU$6*(VLOOKUP(AU$8,'MASTER DATA'!$AG:$AH,2,FALSE)),0))</f>
        <v>0</v>
      </c>
      <c r="AV16" s="60">
        <f t="shared" si="8"/>
        <v>-537.52968246242904</v>
      </c>
      <c r="AW16" s="60"/>
      <c r="AX16" s="60">
        <f>IF(AX$6="",IFERROR(VLOOKUP((AX$8&amp;"&amp;"&amp;$V16),'MASTER DATA'!$G:$M,7,FALSE)*AX$7*(VLOOKUP(AX$8,'MASTER DATA'!$AG:$AH,2,FALSE)),0),IFERROR(VLOOKUP((AX$8&amp;"&amp;"&amp;$V16),'MASTER DATA'!$G:$M,7,FALSE)*AX$6*(VLOOKUP(AX$8,'MASTER DATA'!$AG:$AH,2,FALSE)),0))</f>
        <v>0</v>
      </c>
      <c r="AY16" s="60">
        <f t="shared" si="9"/>
        <v>-537.52968246242904</v>
      </c>
    </row>
    <row r="17" spans="1:51" x14ac:dyDescent="0.25">
      <c r="A17" s="71"/>
      <c r="B17" s="38"/>
      <c r="C17" s="38" t="s">
        <v>160</v>
      </c>
      <c r="D17" s="38" t="s">
        <v>161</v>
      </c>
      <c r="E17" s="99">
        <v>8</v>
      </c>
      <c r="F17" s="99">
        <v>2.45736</v>
      </c>
      <c r="G17" s="38">
        <v>7</v>
      </c>
      <c r="H17" s="39">
        <f t="shared" si="10"/>
        <v>2.2400000000000002</v>
      </c>
      <c r="I17" s="39"/>
      <c r="J17" s="38">
        <f>SUMIF('KIRIM ANTAR UNIT'!B:B,'SETTING PRODUKSI SEPTEMBER AU'!C17,'KIRIM ANTAR UNIT'!E:E)</f>
        <v>0</v>
      </c>
      <c r="K17" s="38">
        <f>SUMIF('KIRIM ANTAR UNIT'!B:B,'SETTING PRODUKSI SEPTEMBER AU'!C17,'KIRIM ANTAR UNIT'!F:F)</f>
        <v>0</v>
      </c>
      <c r="L17" s="40">
        <f t="shared" si="11"/>
        <v>7.7826400000000007</v>
      </c>
      <c r="M17" s="40">
        <f t="shared" si="12"/>
        <v>0.31130560000000002</v>
      </c>
      <c r="N17" s="41">
        <f>VLOOKUP(C17,'MASTER DATA'!B:D,3,0)</f>
        <v>0.9</v>
      </c>
      <c r="O17" s="77">
        <f t="shared" si="13"/>
        <v>345.89511111111113</v>
      </c>
      <c r="P17" s="42">
        <f t="shared" si="14"/>
        <v>2.2400000000000002</v>
      </c>
      <c r="Q17" s="77">
        <f t="shared" si="15"/>
        <v>7.0000000000000009</v>
      </c>
      <c r="R17" s="38"/>
      <c r="S17" s="38"/>
      <c r="U17" s="27">
        <v>0.7</v>
      </c>
      <c r="V17" s="26" t="s">
        <v>70</v>
      </c>
      <c r="W17" s="36"/>
      <c r="X17" s="36">
        <f t="shared" si="1"/>
        <v>541.16137686074376</v>
      </c>
      <c r="Y17" s="36"/>
      <c r="Z17" s="36"/>
      <c r="AA17" s="36">
        <f t="shared" si="2"/>
        <v>541.16137686074376</v>
      </c>
      <c r="AB17" s="53"/>
      <c r="AC17" s="60">
        <f>IF(AC$6="",IFERROR(VLOOKUP((AC$8&amp;"&amp;"&amp;$V17),'MASTER DATA'!$G:$M,7,FALSE)*AC$7*(VLOOKUP(AC$8,'MASTER DATA'!$AG:$AH,2,FALSE)),0),IFERROR(VLOOKUP((AC$8&amp;"&amp;"&amp;$V17),'MASTER DATA'!$G:$M,7,FALSE)*AC$6*(VLOOKUP(AC$8,'MASTER DATA'!$AG:$AH,2,FALSE)),0))</f>
        <v>0</v>
      </c>
      <c r="AD17" s="60">
        <f t="shared" si="0"/>
        <v>-541.16137686074376</v>
      </c>
      <c r="AE17" s="53"/>
      <c r="AF17" s="60">
        <f>IF(AF$6="",IFERROR(VLOOKUP((AF$8&amp;"&amp;"&amp;$V17),'MASTER DATA'!$G:$M,7,FALSE)*AF$7*(VLOOKUP(AF$8,'MASTER DATA'!$AG:$AH,2,FALSE)),0),IFERROR(VLOOKUP((AF$8&amp;"&amp;"&amp;$V17),'MASTER DATA'!$G:$M,7,FALSE)*AF$6*(VLOOKUP(AF$8,'MASTER DATA'!$AG:$AH,2,FALSE)),0))</f>
        <v>0</v>
      </c>
      <c r="AG17" s="60">
        <f t="shared" si="3"/>
        <v>-541.16137686074376</v>
      </c>
      <c r="AH17" s="53"/>
      <c r="AI17" s="60">
        <f>IF(AI$6="",IFERROR(VLOOKUP((AI$8&amp;"&amp;"&amp;$V17),'MASTER DATA'!$G:$M,7,FALSE)*AI$7*(VLOOKUP(AI$8,'MASTER DATA'!$AG:$AH,2,FALSE)),0),IFERROR(VLOOKUP((AI$8&amp;"&amp;"&amp;$V17),'MASTER DATA'!$G:$M,7,FALSE)*AI$6*(VLOOKUP(AI$8,'MASTER DATA'!$AG:$AH,2,FALSE)),0))</f>
        <v>0</v>
      </c>
      <c r="AJ17" s="60">
        <f t="shared" si="4"/>
        <v>-541.16137686074376</v>
      </c>
      <c r="AK17" s="53"/>
      <c r="AL17" s="60">
        <f>IF(AL$6="",IFERROR(VLOOKUP((AL$8&amp;"&amp;"&amp;$V17),'MASTER DATA'!$G:$M,7,FALSE)*AL$7*(VLOOKUP(AL$8,'MASTER DATA'!$AG:$AH,2,FALSE)),0),IFERROR(VLOOKUP((AL$8&amp;"&amp;"&amp;$V17),'MASTER DATA'!$G:$M,7,FALSE)*AL$6*(VLOOKUP(AL$8,'MASTER DATA'!$AG:$AH,2,FALSE)),0))</f>
        <v>0</v>
      </c>
      <c r="AM17" s="60">
        <f t="shared" si="5"/>
        <v>-541.16137686074376</v>
      </c>
      <c r="AN17" s="53"/>
      <c r="AO17" s="60">
        <f>IF(AO$6="",IFERROR(VLOOKUP((AO$8&amp;"&amp;"&amp;$V17),'MASTER DATA'!$G:$M,7,FALSE)*AO$7*(VLOOKUP(AO$8,'MASTER DATA'!$AG:$AH,2,FALSE)),0),IFERROR(VLOOKUP((AO$8&amp;"&amp;"&amp;$V17),'MASTER DATA'!$G:$M,7,FALSE)*AO$6*(VLOOKUP(AO$8,'MASTER DATA'!$AG:$AH,2,FALSE)),0))</f>
        <v>0</v>
      </c>
      <c r="AP17" s="60">
        <f t="shared" si="6"/>
        <v>-541.16137686074376</v>
      </c>
      <c r="AQ17" s="53"/>
      <c r="AR17" s="60">
        <f>IF(AR$6="",IFERROR(VLOOKUP((AR$8&amp;"&amp;"&amp;$V17),'MASTER DATA'!$G:$M,7,FALSE)*AR$7*(VLOOKUP(AR$8,'MASTER DATA'!$AG:$AH,2,FALSE)),0),IFERROR(VLOOKUP((AR$8&amp;"&amp;"&amp;$V17),'MASTER DATA'!$G:$M,7,FALSE)*AR$6*(VLOOKUP(AR$8,'MASTER DATA'!$AG:$AH,2,FALSE)),0))</f>
        <v>0</v>
      </c>
      <c r="AS17" s="60">
        <f t="shared" si="7"/>
        <v>-541.16137686074376</v>
      </c>
      <c r="AT17" s="53"/>
      <c r="AU17" s="60">
        <f>IF(AU$6="",IFERROR(VLOOKUP((AU$8&amp;"&amp;"&amp;$V17),'MASTER DATA'!$G:$M,7,FALSE)*AU$7*(VLOOKUP(AU$8,'MASTER DATA'!$AG:$AH,2,FALSE)),0),IFERROR(VLOOKUP((AU$8&amp;"&amp;"&amp;$V17),'MASTER DATA'!$G:$M,7,FALSE)*AU$6*(VLOOKUP(AU$8,'MASTER DATA'!$AG:$AH,2,FALSE)),0))</f>
        <v>0</v>
      </c>
      <c r="AV17" s="60">
        <f t="shared" si="8"/>
        <v>-541.16137686074376</v>
      </c>
      <c r="AW17" s="76"/>
      <c r="AX17" s="60">
        <f>IF(AX$6="",IFERROR(VLOOKUP((AX$8&amp;"&amp;"&amp;$V17),'MASTER DATA'!$G:$M,7,FALSE)*AX$7*(VLOOKUP(AX$8,'MASTER DATA'!$AG:$AH,2,FALSE)),0),IFERROR(VLOOKUP((AX$8&amp;"&amp;"&amp;$V17),'MASTER DATA'!$G:$M,7,FALSE)*AX$6*(VLOOKUP(AX$8,'MASTER DATA'!$AG:$AH,2,FALSE)),0))</f>
        <v>0</v>
      </c>
      <c r="AY17" s="60">
        <f t="shared" si="9"/>
        <v>-541.16137686074376</v>
      </c>
    </row>
    <row r="18" spans="1:51" x14ac:dyDescent="0.25">
      <c r="A18" s="71"/>
      <c r="B18" s="38"/>
      <c r="C18" s="38" t="s">
        <v>162</v>
      </c>
      <c r="D18" s="38" t="s">
        <v>163</v>
      </c>
      <c r="E18" s="99">
        <v>4.3757849807999998</v>
      </c>
      <c r="F18" s="99">
        <v>4.4331740000000002</v>
      </c>
      <c r="G18" s="38">
        <v>7</v>
      </c>
      <c r="H18" s="39">
        <f t="shared" si="10"/>
        <v>1.2252197946239998</v>
      </c>
      <c r="I18" s="39"/>
      <c r="J18" s="38">
        <f>SUMIF('KIRIM ANTAR UNIT'!B:B,'SETTING PRODUKSI SEPTEMBER AU'!C18,'KIRIM ANTAR UNIT'!E:E)</f>
        <v>0</v>
      </c>
      <c r="K18" s="38">
        <f>SUMIF('KIRIM ANTAR UNIT'!B:B,'SETTING PRODUKSI SEPTEMBER AU'!C18,'KIRIM ANTAR UNIT'!F:F)</f>
        <v>0</v>
      </c>
      <c r="L18" s="40">
        <f t="shared" si="11"/>
        <v>1.1678307754239994</v>
      </c>
      <c r="M18" s="40">
        <f t="shared" si="12"/>
        <v>4.6713231016959976E-2</v>
      </c>
      <c r="N18" s="41">
        <f>VLOOKUP(C18,'MASTER DATA'!B:D,3,0)</f>
        <v>1.1000000000000001</v>
      </c>
      <c r="O18" s="77">
        <f t="shared" si="13"/>
        <v>42.466573651781793</v>
      </c>
      <c r="P18" s="42">
        <f t="shared" si="14"/>
        <v>1.2252197946239995</v>
      </c>
      <c r="Q18" s="77">
        <f t="shared" si="15"/>
        <v>6.9999999999999982</v>
      </c>
      <c r="R18" s="38"/>
      <c r="S18" s="38"/>
      <c r="U18" s="27">
        <v>0.8</v>
      </c>
      <c r="V18" s="24" t="s">
        <v>72</v>
      </c>
      <c r="W18" s="19"/>
      <c r="X18" s="19">
        <f t="shared" si="1"/>
        <v>2388.2411036439994</v>
      </c>
      <c r="Y18" s="19"/>
      <c r="Z18" s="19"/>
      <c r="AA18" s="19">
        <f t="shared" si="2"/>
        <v>2388.2411036439994</v>
      </c>
      <c r="AB18" s="38"/>
      <c r="AC18" s="60">
        <f>IF(AC$6="",IFERROR(VLOOKUP((AC$8&amp;"&amp;"&amp;$V18),'MASTER DATA'!$G:$M,7,FALSE)*AC$7*(VLOOKUP(AC$8,'MASTER DATA'!$AG:$AH,2,FALSE)),0),IFERROR(VLOOKUP((AC$8&amp;"&amp;"&amp;$V18),'MASTER DATA'!$G:$M,7,FALSE)*AC$6*(VLOOKUP(AC$8,'MASTER DATA'!$AG:$AH,2,FALSE)),0))</f>
        <v>0</v>
      </c>
      <c r="AD18" s="60">
        <f t="shared" si="0"/>
        <v>-2388.2411036439994</v>
      </c>
      <c r="AE18" s="38"/>
      <c r="AF18" s="60">
        <f>IF(AF$6="",IFERROR(VLOOKUP((AF$8&amp;"&amp;"&amp;$V18),'MASTER DATA'!$G:$M,7,FALSE)*AF$7*(VLOOKUP(AF$8,'MASTER DATA'!$AG:$AH,2,FALSE)),0),IFERROR(VLOOKUP((AF$8&amp;"&amp;"&amp;$V18),'MASTER DATA'!$G:$M,7,FALSE)*AF$6*(VLOOKUP(AF$8,'MASTER DATA'!$AG:$AH,2,FALSE)),0))</f>
        <v>0</v>
      </c>
      <c r="AG18" s="60">
        <f t="shared" si="3"/>
        <v>-2388.2411036439994</v>
      </c>
      <c r="AH18" s="38"/>
      <c r="AI18" s="60">
        <f>IF(AI$6="",IFERROR(VLOOKUP((AI$8&amp;"&amp;"&amp;$V18),'MASTER DATA'!$G:$M,7,FALSE)*AI$7*(VLOOKUP(AI$8,'MASTER DATA'!$AG:$AH,2,FALSE)),0),IFERROR(VLOOKUP((AI$8&amp;"&amp;"&amp;$V18),'MASTER DATA'!$G:$M,7,FALSE)*AI$6*(VLOOKUP(AI$8,'MASTER DATA'!$AG:$AH,2,FALSE)),0))</f>
        <v>0</v>
      </c>
      <c r="AJ18" s="60">
        <f t="shared" si="4"/>
        <v>-2388.2411036439994</v>
      </c>
      <c r="AK18" s="38">
        <v>1</v>
      </c>
      <c r="AL18" s="60">
        <f>IF(AL$6="",IFERROR(VLOOKUP((AL$8&amp;"&amp;"&amp;$V18),'MASTER DATA'!$G:$M,7,FALSE)*AL$7*(VLOOKUP(AL$8,'MASTER DATA'!$AG:$AH,2,FALSE)),0),IFERROR(VLOOKUP((AL$8&amp;"&amp;"&amp;$V18),'MASTER DATA'!$G:$M,7,FALSE)*AL$6*(VLOOKUP(AL$8,'MASTER DATA'!$AG:$AH,2,FALSE)),0))</f>
        <v>0</v>
      </c>
      <c r="AM18" s="60">
        <f t="shared" si="5"/>
        <v>-2388.2411036439994</v>
      </c>
      <c r="AN18" s="38"/>
      <c r="AO18" s="60">
        <f>IF(AO$6="",IFERROR(VLOOKUP((AO$8&amp;"&amp;"&amp;$V18),'MASTER DATA'!$G:$M,7,FALSE)*AO$7*(VLOOKUP(AO$8,'MASTER DATA'!$AG:$AH,2,FALSE)),0),IFERROR(VLOOKUP((AO$8&amp;"&amp;"&amp;$V18),'MASTER DATA'!$G:$M,7,FALSE)*AO$6*(VLOOKUP(AO$8,'MASTER DATA'!$AG:$AH,2,FALSE)),0))</f>
        <v>0</v>
      </c>
      <c r="AP18" s="60">
        <f t="shared" si="6"/>
        <v>-2388.2411036439994</v>
      </c>
      <c r="AQ18" s="38"/>
      <c r="AR18" s="60">
        <f>IF(AR$6="",IFERROR(VLOOKUP((AR$8&amp;"&amp;"&amp;$V18),'MASTER DATA'!$G:$M,7,FALSE)*AR$7*(VLOOKUP(AR$8,'MASTER DATA'!$AG:$AH,2,FALSE)),0),IFERROR(VLOOKUP((AR$8&amp;"&amp;"&amp;$V18),'MASTER DATA'!$G:$M,7,FALSE)*AR$6*(VLOOKUP(AR$8,'MASTER DATA'!$AG:$AH,2,FALSE)),0))</f>
        <v>0</v>
      </c>
      <c r="AS18" s="60">
        <f t="shared" si="7"/>
        <v>-2388.2411036439994</v>
      </c>
      <c r="AT18" s="38"/>
      <c r="AU18" s="60">
        <f>IF(AU$6="",IFERROR(VLOOKUP((AU$8&amp;"&amp;"&amp;$V18),'MASTER DATA'!$G:$M,7,FALSE)*AU$7*(VLOOKUP(AU$8,'MASTER DATA'!$AG:$AH,2,FALSE)),0),IFERROR(VLOOKUP((AU$8&amp;"&amp;"&amp;$V18),'MASTER DATA'!$G:$M,7,FALSE)*AU$6*(VLOOKUP(AU$8,'MASTER DATA'!$AG:$AH,2,FALSE)),0))</f>
        <v>0</v>
      </c>
      <c r="AV18" s="60">
        <f t="shared" si="8"/>
        <v>-2388.2411036439994</v>
      </c>
      <c r="AW18" s="60"/>
      <c r="AX18" s="60">
        <f>IF(AX$6="",IFERROR(VLOOKUP((AX$8&amp;"&amp;"&amp;$V18),'MASTER DATA'!$G:$M,7,FALSE)*AX$7*(VLOOKUP(AX$8,'MASTER DATA'!$AG:$AH,2,FALSE)),0),IFERROR(VLOOKUP((AX$8&amp;"&amp;"&amp;$V18),'MASTER DATA'!$G:$M,7,FALSE)*AX$6*(VLOOKUP(AX$8,'MASTER DATA'!$AG:$AH,2,FALSE)),0))</f>
        <v>0</v>
      </c>
      <c r="AY18" s="60">
        <f t="shared" si="9"/>
        <v>-2388.2411036439994</v>
      </c>
    </row>
    <row r="19" spans="1:51" x14ac:dyDescent="0.25">
      <c r="A19" s="71"/>
      <c r="B19" s="38"/>
      <c r="C19" s="38" t="s">
        <v>202</v>
      </c>
      <c r="D19" s="38" t="s">
        <v>203</v>
      </c>
      <c r="E19" s="99">
        <v>2.0396677423999998</v>
      </c>
      <c r="F19" s="99">
        <v>1.18126</v>
      </c>
      <c r="G19" s="38">
        <v>7</v>
      </c>
      <c r="H19" s="39">
        <f t="shared" si="10"/>
        <v>0.57110696787199988</v>
      </c>
      <c r="I19" s="39"/>
      <c r="J19" s="38">
        <f>SUMIF('KIRIM ANTAR UNIT'!B:B,'SETTING PRODUKSI SEPTEMBER AU'!C19,'KIRIM ANTAR UNIT'!E:E)</f>
        <v>0</v>
      </c>
      <c r="K19" s="38">
        <f>SUMIF('KIRIM ANTAR UNIT'!B:B,'SETTING PRODUKSI SEPTEMBER AU'!C19,'KIRIM ANTAR UNIT'!F:F)</f>
        <v>0</v>
      </c>
      <c r="L19" s="40">
        <f t="shared" si="11"/>
        <v>1.4295147102719996</v>
      </c>
      <c r="M19" s="40">
        <f t="shared" si="12"/>
        <v>5.7180588410879987E-2</v>
      </c>
      <c r="N19" s="41">
        <f>VLOOKUP(C19,'MASTER DATA'!B:D,3,0)</f>
        <v>1.2</v>
      </c>
      <c r="O19" s="77">
        <f t="shared" si="13"/>
        <v>47.650490342399991</v>
      </c>
      <c r="P19" s="42">
        <f t="shared" si="14"/>
        <v>0.57110696787199977</v>
      </c>
      <c r="Q19" s="77">
        <f t="shared" si="15"/>
        <v>6.9999999999999982</v>
      </c>
      <c r="R19" s="38"/>
      <c r="S19" s="38"/>
      <c r="U19" s="27">
        <v>0.9</v>
      </c>
      <c r="V19" s="18" t="s">
        <v>73</v>
      </c>
      <c r="W19" s="19"/>
      <c r="X19" s="19">
        <f t="shared" si="1"/>
        <v>249.96651133084009</v>
      </c>
      <c r="Y19" s="19"/>
      <c r="Z19" s="19"/>
      <c r="AA19" s="19">
        <f t="shared" si="2"/>
        <v>249.96651133084009</v>
      </c>
      <c r="AB19" s="38"/>
      <c r="AC19" s="60">
        <f>IF(AC$6="",IFERROR(VLOOKUP((AC$8&amp;"&amp;"&amp;$V19),'MASTER DATA'!$G:$M,7,FALSE)*AC$7*(VLOOKUP(AC$8,'MASTER DATA'!$AG:$AH,2,FALSE)),0),IFERROR(VLOOKUP((AC$8&amp;"&amp;"&amp;$V19),'MASTER DATA'!$G:$M,7,FALSE)*AC$6*(VLOOKUP(AC$8,'MASTER DATA'!$AG:$AH,2,FALSE)),0))</f>
        <v>0</v>
      </c>
      <c r="AD19" s="60">
        <f t="shared" si="0"/>
        <v>-249.96651133084009</v>
      </c>
      <c r="AE19" s="38"/>
      <c r="AF19" s="60">
        <f>IF(AF$6="",IFERROR(VLOOKUP((AF$8&amp;"&amp;"&amp;$V19),'MASTER DATA'!$G:$M,7,FALSE)*AF$7*(VLOOKUP(AF$8,'MASTER DATA'!$AG:$AH,2,FALSE)),0),IFERROR(VLOOKUP((AF$8&amp;"&amp;"&amp;$V19),'MASTER DATA'!$G:$M,7,FALSE)*AF$6*(VLOOKUP(AF$8,'MASTER DATA'!$AG:$AH,2,FALSE)),0))</f>
        <v>0</v>
      </c>
      <c r="AG19" s="60">
        <f t="shared" si="3"/>
        <v>-249.96651133084009</v>
      </c>
      <c r="AH19" s="38"/>
      <c r="AI19" s="60">
        <f>IF(AI$6="",IFERROR(VLOOKUP((AI$8&amp;"&amp;"&amp;$V19),'MASTER DATA'!$G:$M,7,FALSE)*AI$7*(VLOOKUP(AI$8,'MASTER DATA'!$AG:$AH,2,FALSE)),0),IFERROR(VLOOKUP((AI$8&amp;"&amp;"&amp;$V19),'MASTER DATA'!$G:$M,7,FALSE)*AI$6*(VLOOKUP(AI$8,'MASTER DATA'!$AG:$AH,2,FALSE)),0))</f>
        <v>0</v>
      </c>
      <c r="AJ19" s="60">
        <f t="shared" si="4"/>
        <v>-249.96651133084009</v>
      </c>
      <c r="AK19" s="38"/>
      <c r="AL19" s="60">
        <f>IF(AL$6="",IFERROR(VLOOKUP((AL$8&amp;"&amp;"&amp;$V19),'MASTER DATA'!$G:$M,7,FALSE)*AL$7*(VLOOKUP(AL$8,'MASTER DATA'!$AG:$AH,2,FALSE)),0),IFERROR(VLOOKUP((AL$8&amp;"&amp;"&amp;$V19),'MASTER DATA'!$G:$M,7,FALSE)*AL$6*(VLOOKUP(AL$8,'MASTER DATA'!$AG:$AH,2,FALSE)),0))</f>
        <v>0</v>
      </c>
      <c r="AM19" s="60">
        <f t="shared" si="5"/>
        <v>-249.96651133084009</v>
      </c>
      <c r="AN19" s="38"/>
      <c r="AO19" s="60">
        <f>IF(AO$6="",IFERROR(VLOOKUP((AO$8&amp;"&amp;"&amp;$V19),'MASTER DATA'!$G:$M,7,FALSE)*AO$7*(VLOOKUP(AO$8,'MASTER DATA'!$AG:$AH,2,FALSE)),0),IFERROR(VLOOKUP((AO$8&amp;"&amp;"&amp;$V19),'MASTER DATA'!$G:$M,7,FALSE)*AO$6*(VLOOKUP(AO$8,'MASTER DATA'!$AG:$AH,2,FALSE)),0))</f>
        <v>0</v>
      </c>
      <c r="AP19" s="60">
        <f t="shared" si="6"/>
        <v>-249.96651133084009</v>
      </c>
      <c r="AQ19" s="38"/>
      <c r="AR19" s="60">
        <f>IF(AR$6="",IFERROR(VLOOKUP((AR$8&amp;"&amp;"&amp;$V19),'MASTER DATA'!$G:$M,7,FALSE)*AR$7*(VLOOKUP(AR$8,'MASTER DATA'!$AG:$AH,2,FALSE)),0),IFERROR(VLOOKUP((AR$8&amp;"&amp;"&amp;$V19),'MASTER DATA'!$G:$M,7,FALSE)*AR$6*(VLOOKUP(AR$8,'MASTER DATA'!$AG:$AH,2,FALSE)),0))</f>
        <v>0</v>
      </c>
      <c r="AS19" s="60">
        <f t="shared" si="7"/>
        <v>-249.96651133084009</v>
      </c>
      <c r="AT19" s="38"/>
      <c r="AU19" s="60">
        <f>IF(AU$6="",IFERROR(VLOOKUP((AU$8&amp;"&amp;"&amp;$V19),'MASTER DATA'!$G:$M,7,FALSE)*AU$7*(VLOOKUP(AU$8,'MASTER DATA'!$AG:$AH,2,FALSE)),0),IFERROR(VLOOKUP((AU$8&amp;"&amp;"&amp;$V19),'MASTER DATA'!$G:$M,7,FALSE)*AU$6*(VLOOKUP(AU$8,'MASTER DATA'!$AG:$AH,2,FALSE)),0))</f>
        <v>0</v>
      </c>
      <c r="AV19" s="60">
        <f t="shared" si="8"/>
        <v>-249.96651133084009</v>
      </c>
      <c r="AW19" s="60"/>
      <c r="AX19" s="60">
        <f>IF(AX$6="",IFERROR(VLOOKUP((AX$8&amp;"&amp;"&amp;$V19),'MASTER DATA'!$G:$M,7,FALSE)*AX$7*(VLOOKUP(AX$8,'MASTER DATA'!$AG:$AH,2,FALSE)),0),IFERROR(VLOOKUP((AX$8&amp;"&amp;"&amp;$V19),'MASTER DATA'!$G:$M,7,FALSE)*AX$6*(VLOOKUP(AX$8,'MASTER DATA'!$AG:$AH,2,FALSE)),0))</f>
        <v>0</v>
      </c>
      <c r="AY19" s="60">
        <f t="shared" si="9"/>
        <v>-249.96651133084009</v>
      </c>
    </row>
    <row r="20" spans="1:51" x14ac:dyDescent="0.25">
      <c r="A20" s="71"/>
      <c r="B20" s="38"/>
      <c r="C20" s="38" t="s">
        <v>30</v>
      </c>
      <c r="D20" s="38" t="s">
        <v>31</v>
      </c>
      <c r="E20" s="99">
        <v>19.757750000000012</v>
      </c>
      <c r="F20" s="99">
        <v>35.530397999999998</v>
      </c>
      <c r="G20" s="38">
        <v>7</v>
      </c>
      <c r="H20" s="39">
        <f t="shared" si="10"/>
        <v>5.5321700000000034</v>
      </c>
      <c r="I20" s="39"/>
      <c r="J20" s="38">
        <f>SUMIF('KIRIM ANTAR UNIT'!B:B,'SETTING PRODUKSI SEPTEMBER AU'!C20,'KIRIM ANTAR UNIT'!E:E)</f>
        <v>0</v>
      </c>
      <c r="K20" s="38">
        <f>SUMIF('KIRIM ANTAR UNIT'!B:B,'SETTING PRODUKSI SEPTEMBER AU'!C20,'KIRIM ANTAR UNIT'!F:F)</f>
        <v>0</v>
      </c>
      <c r="L20" s="40">
        <f t="shared" si="11"/>
        <v>0</v>
      </c>
      <c r="M20" s="40">
        <f t="shared" si="12"/>
        <v>0</v>
      </c>
      <c r="N20" s="41">
        <v>1.2</v>
      </c>
      <c r="O20" s="77">
        <f t="shared" si="13"/>
        <v>0</v>
      </c>
      <c r="P20" s="42">
        <f t="shared" si="14"/>
        <v>15.772647999999986</v>
      </c>
      <c r="Q20" s="77">
        <f t="shared" si="15"/>
        <v>19.957545773177582</v>
      </c>
      <c r="R20" s="38"/>
      <c r="S20" s="38"/>
      <c r="U20" s="65">
        <v>1</v>
      </c>
      <c r="V20" s="66" t="s">
        <v>74</v>
      </c>
      <c r="W20" s="36"/>
      <c r="X20" s="36">
        <f t="shared" si="1"/>
        <v>1938.3924820113571</v>
      </c>
      <c r="Y20" s="36"/>
      <c r="Z20" s="36"/>
      <c r="AA20" s="36">
        <f t="shared" si="2"/>
        <v>1938.3924820113571</v>
      </c>
      <c r="AB20" s="38"/>
      <c r="AC20" s="60">
        <f>IF(AC$6="",IFERROR(VLOOKUP((AC$8&amp;"&amp;"&amp;$V20),'MASTER DATA'!$G:$M,7,FALSE)*AC$7*(VLOOKUP(AC$8,'MASTER DATA'!$AG:$AH,2,FALSE)),0),IFERROR(VLOOKUP((AC$8&amp;"&amp;"&amp;$V20),'MASTER DATA'!$G:$M,7,FALSE)*AC$6*(VLOOKUP(AC$8,'MASTER DATA'!$AG:$AH,2,FALSE)),0))</f>
        <v>0</v>
      </c>
      <c r="AD20" s="60">
        <f t="shared" si="0"/>
        <v>-1938.3924820113571</v>
      </c>
      <c r="AE20" s="38"/>
      <c r="AF20" s="60">
        <f>IF(AF$6="",IFERROR(VLOOKUP((AF$8&amp;"&amp;"&amp;$V20),'MASTER DATA'!$G:$M,7,FALSE)*AF$7*(VLOOKUP(AF$8,'MASTER DATA'!$AG:$AH,2,FALSE)),0),IFERROR(VLOOKUP((AF$8&amp;"&amp;"&amp;$V20),'MASTER DATA'!$G:$M,7,FALSE)*AF$6*(VLOOKUP(AF$8,'MASTER DATA'!$AG:$AH,2,FALSE)),0))</f>
        <v>0</v>
      </c>
      <c r="AG20" s="60">
        <f t="shared" si="3"/>
        <v>-1938.3924820113571</v>
      </c>
      <c r="AH20" s="38"/>
      <c r="AI20" s="60">
        <f>IF(AI$6="",IFERROR(VLOOKUP((AI$8&amp;"&amp;"&amp;$V20),'MASTER DATA'!$G:$M,7,FALSE)*AI$7*(VLOOKUP(AI$8,'MASTER DATA'!$AG:$AH,2,FALSE)),0),IFERROR(VLOOKUP((AI$8&amp;"&amp;"&amp;$V20),'MASTER DATA'!$G:$M,7,FALSE)*AI$6*(VLOOKUP(AI$8,'MASTER DATA'!$AG:$AH,2,FALSE)),0))</f>
        <v>0</v>
      </c>
      <c r="AJ20" s="60">
        <f t="shared" si="4"/>
        <v>-1938.3924820113571</v>
      </c>
      <c r="AK20" s="38"/>
      <c r="AL20" s="60">
        <f>IF(AL$6="",IFERROR(VLOOKUP((AL$8&amp;"&amp;"&amp;$V20),'MASTER DATA'!$G:$M,7,FALSE)*AL$7*(VLOOKUP(AL$8,'MASTER DATA'!$AG:$AH,2,FALSE)),0),IFERROR(VLOOKUP((AL$8&amp;"&amp;"&amp;$V20),'MASTER DATA'!$G:$M,7,FALSE)*AL$6*(VLOOKUP(AL$8,'MASTER DATA'!$AG:$AH,2,FALSE)),0))</f>
        <v>0</v>
      </c>
      <c r="AM20" s="60">
        <f t="shared" si="5"/>
        <v>-1938.3924820113571</v>
      </c>
      <c r="AN20" s="38"/>
      <c r="AO20" s="60">
        <f>IF(AO$6="",IFERROR(VLOOKUP((AO$8&amp;"&amp;"&amp;$V20),'MASTER DATA'!$G:$M,7,FALSE)*AO$7*(VLOOKUP(AO$8,'MASTER DATA'!$AG:$AH,2,FALSE)),0),IFERROR(VLOOKUP((AO$8&amp;"&amp;"&amp;$V20),'MASTER DATA'!$G:$M,7,FALSE)*AO$6*(VLOOKUP(AO$8,'MASTER DATA'!$AG:$AH,2,FALSE)),0))</f>
        <v>0</v>
      </c>
      <c r="AP20" s="60">
        <f t="shared" si="6"/>
        <v>-1938.3924820113571</v>
      </c>
      <c r="AQ20" s="38"/>
      <c r="AR20" s="60">
        <f>IF(AR$6="",IFERROR(VLOOKUP((AR$8&amp;"&amp;"&amp;$V20),'MASTER DATA'!$G:$M,7,FALSE)*AR$7*(VLOOKUP(AR$8,'MASTER DATA'!$AG:$AH,2,FALSE)),0),IFERROR(VLOOKUP((AR$8&amp;"&amp;"&amp;$V20),'MASTER DATA'!$G:$M,7,FALSE)*AR$6*(VLOOKUP(AR$8,'MASTER DATA'!$AG:$AH,2,FALSE)),0))</f>
        <v>0</v>
      </c>
      <c r="AS20" s="60">
        <f t="shared" si="7"/>
        <v>-1938.3924820113571</v>
      </c>
      <c r="AT20" s="38"/>
      <c r="AU20" s="60">
        <f>IF(AU$6="",IFERROR(VLOOKUP((AU$8&amp;"&amp;"&amp;$V20),'MASTER DATA'!$G:$M,7,FALSE)*AU$7*(VLOOKUP(AU$8,'MASTER DATA'!$AG:$AH,2,FALSE)),0),IFERROR(VLOOKUP((AU$8&amp;"&amp;"&amp;$V20),'MASTER DATA'!$G:$M,7,FALSE)*AU$6*(VLOOKUP(AU$8,'MASTER DATA'!$AG:$AH,2,FALSE)),0))</f>
        <v>0</v>
      </c>
      <c r="AV20" s="60">
        <f t="shared" si="8"/>
        <v>-1938.3924820113571</v>
      </c>
      <c r="AW20" s="60"/>
      <c r="AX20" s="60">
        <f>IF(AX$6="",IFERROR(VLOOKUP((AX$8&amp;"&amp;"&amp;$V20),'MASTER DATA'!$G:$M,7,FALSE)*AX$7*(VLOOKUP(AX$8,'MASTER DATA'!$AG:$AH,2,FALSE)),0),IFERROR(VLOOKUP((AX$8&amp;"&amp;"&amp;$V20),'MASTER DATA'!$G:$M,7,FALSE)*AX$6*(VLOOKUP(AX$8,'MASTER DATA'!$AG:$AH,2,FALSE)),0))</f>
        <v>0</v>
      </c>
      <c r="AY20" s="60">
        <f t="shared" si="9"/>
        <v>-1938.3924820113571</v>
      </c>
    </row>
    <row r="21" spans="1:51" x14ac:dyDescent="0.25">
      <c r="A21" s="71"/>
      <c r="B21" s="38"/>
      <c r="C21" s="38" t="s">
        <v>164</v>
      </c>
      <c r="D21" s="38" t="s">
        <v>165</v>
      </c>
      <c r="E21" s="99">
        <v>5.4907199999999993E-3</v>
      </c>
      <c r="F21" s="99">
        <v>0.12436</v>
      </c>
      <c r="G21" s="38">
        <v>7</v>
      </c>
      <c r="H21" s="39">
        <f t="shared" si="10"/>
        <v>1.5374015999999999E-3</v>
      </c>
      <c r="I21" s="39"/>
      <c r="J21" s="38">
        <f>SUMIF('KIRIM ANTAR UNIT'!B:B,'SETTING PRODUKSI SEPTEMBER AU'!C21,'KIRIM ANTAR UNIT'!E:E)</f>
        <v>0</v>
      </c>
      <c r="K21" s="38">
        <f>SUMIF('KIRIM ANTAR UNIT'!B:B,'SETTING PRODUKSI SEPTEMBER AU'!C21,'KIRIM ANTAR UNIT'!F:F)</f>
        <v>0</v>
      </c>
      <c r="L21" s="40">
        <f t="shared" si="11"/>
        <v>0</v>
      </c>
      <c r="M21" s="40">
        <f t="shared" si="12"/>
        <v>0</v>
      </c>
      <c r="N21" s="41">
        <f>VLOOKUP(C21,'MASTER DATA'!B:D,3,0)</f>
        <v>1.1000000000000001</v>
      </c>
      <c r="O21" s="77">
        <f t="shared" si="13"/>
        <v>0</v>
      </c>
      <c r="P21" s="42">
        <f t="shared" si="14"/>
        <v>0.11886927999999999</v>
      </c>
      <c r="Q21" s="77">
        <f t="shared" si="15"/>
        <v>541.22810851764439</v>
      </c>
      <c r="R21" s="38"/>
      <c r="S21" s="38"/>
      <c r="U21" s="65">
        <v>1.1000000000000001</v>
      </c>
      <c r="V21" s="67" t="s">
        <v>75</v>
      </c>
      <c r="W21" s="36"/>
      <c r="X21" s="36">
        <f t="shared" si="1"/>
        <v>0</v>
      </c>
      <c r="Y21" s="36"/>
      <c r="Z21" s="36"/>
      <c r="AA21" s="36">
        <f t="shared" si="2"/>
        <v>0</v>
      </c>
      <c r="AB21" s="38"/>
      <c r="AC21" s="60">
        <f>IF(AC$6="",IFERROR(VLOOKUP((AC$8&amp;"&amp;"&amp;$V21),'MASTER DATA'!$G:$M,7,FALSE)*AC$7*(VLOOKUP(AC$8,'MASTER DATA'!$AG:$AH,2,FALSE)),0),IFERROR(VLOOKUP((AC$8&amp;"&amp;"&amp;$V21),'MASTER DATA'!$G:$M,7,FALSE)*AC$6*(VLOOKUP(AC$8,'MASTER DATA'!$AG:$AH,2,FALSE)),0))</f>
        <v>0</v>
      </c>
      <c r="AD21" s="60">
        <f t="shared" si="0"/>
        <v>0</v>
      </c>
      <c r="AE21" s="38"/>
      <c r="AF21" s="60">
        <f>IF(AF$6="",IFERROR(VLOOKUP((AF$8&amp;"&amp;"&amp;$V21),'MASTER DATA'!$G:$M,7,FALSE)*AF$7*(VLOOKUP(AF$8,'MASTER DATA'!$AG:$AH,2,FALSE)),0),IFERROR(VLOOKUP((AF$8&amp;"&amp;"&amp;$V21),'MASTER DATA'!$G:$M,7,FALSE)*AF$6*(VLOOKUP(AF$8,'MASTER DATA'!$AG:$AH,2,FALSE)),0))</f>
        <v>0</v>
      </c>
      <c r="AG21" s="60">
        <f t="shared" si="3"/>
        <v>0</v>
      </c>
      <c r="AH21" s="38"/>
      <c r="AI21" s="60">
        <f>IF(AI$6="",IFERROR(VLOOKUP((AI$8&amp;"&amp;"&amp;$V21),'MASTER DATA'!$G:$M,7,FALSE)*AI$7*(VLOOKUP(AI$8,'MASTER DATA'!$AG:$AH,2,FALSE)),0),IFERROR(VLOOKUP((AI$8&amp;"&amp;"&amp;$V21),'MASTER DATA'!$G:$M,7,FALSE)*AI$6*(VLOOKUP(AI$8,'MASTER DATA'!$AG:$AH,2,FALSE)),0))</f>
        <v>0</v>
      </c>
      <c r="AJ21" s="60">
        <f t="shared" si="4"/>
        <v>0</v>
      </c>
      <c r="AK21" s="38"/>
      <c r="AL21" s="60">
        <f>IF(AL$6="",IFERROR(VLOOKUP((AL$8&amp;"&amp;"&amp;$V21),'MASTER DATA'!$G:$M,7,FALSE)*AL$7*(VLOOKUP(AL$8,'MASTER DATA'!$AG:$AH,2,FALSE)),0),IFERROR(VLOOKUP((AL$8&amp;"&amp;"&amp;$V21),'MASTER DATA'!$G:$M,7,FALSE)*AL$6*(VLOOKUP(AL$8,'MASTER DATA'!$AG:$AH,2,FALSE)),0))</f>
        <v>0</v>
      </c>
      <c r="AM21" s="60">
        <f t="shared" si="5"/>
        <v>0</v>
      </c>
      <c r="AN21" s="38"/>
      <c r="AO21" s="60">
        <f>IF(AO$6="",IFERROR(VLOOKUP((AO$8&amp;"&amp;"&amp;$V21),'MASTER DATA'!$G:$M,7,FALSE)*AO$7*(VLOOKUP(AO$8,'MASTER DATA'!$AG:$AH,2,FALSE)),0),IFERROR(VLOOKUP((AO$8&amp;"&amp;"&amp;$V21),'MASTER DATA'!$G:$M,7,FALSE)*AO$6*(VLOOKUP(AO$8,'MASTER DATA'!$AG:$AH,2,FALSE)),0))</f>
        <v>0</v>
      </c>
      <c r="AP21" s="60">
        <f t="shared" si="6"/>
        <v>0</v>
      </c>
      <c r="AQ21" s="38"/>
      <c r="AR21" s="60">
        <f>IF(AR$6="",IFERROR(VLOOKUP((AR$8&amp;"&amp;"&amp;$V21),'MASTER DATA'!$G:$M,7,FALSE)*AR$7*(VLOOKUP(AR$8,'MASTER DATA'!$AG:$AH,2,FALSE)),0),IFERROR(VLOOKUP((AR$8&amp;"&amp;"&amp;$V21),'MASTER DATA'!$G:$M,7,FALSE)*AR$6*(VLOOKUP(AR$8,'MASTER DATA'!$AG:$AH,2,FALSE)),0))</f>
        <v>0</v>
      </c>
      <c r="AS21" s="60">
        <f t="shared" si="7"/>
        <v>0</v>
      </c>
      <c r="AT21" s="38"/>
      <c r="AU21" s="60">
        <f>IF(AU$6="",IFERROR(VLOOKUP((AU$8&amp;"&amp;"&amp;$V21),'MASTER DATA'!$G:$M,7,FALSE)*AU$7*(VLOOKUP(AU$8,'MASTER DATA'!$AG:$AH,2,FALSE)),0),IFERROR(VLOOKUP((AU$8&amp;"&amp;"&amp;$V21),'MASTER DATA'!$G:$M,7,FALSE)*AU$6*(VLOOKUP(AU$8,'MASTER DATA'!$AG:$AH,2,FALSE)),0))</f>
        <v>0</v>
      </c>
      <c r="AV21" s="60">
        <f t="shared" si="8"/>
        <v>0</v>
      </c>
      <c r="AW21" s="60"/>
      <c r="AX21" s="60">
        <f>IF(AX$6="",IFERROR(VLOOKUP((AX$8&amp;"&amp;"&amp;$V21),'MASTER DATA'!$G:$M,7,FALSE)*AX$7*(VLOOKUP(AX$8,'MASTER DATA'!$AG:$AH,2,FALSE)),0),IFERROR(VLOOKUP((AX$8&amp;"&amp;"&amp;$V21),'MASTER DATA'!$G:$M,7,FALSE)*AX$6*(VLOOKUP(AX$8,'MASTER DATA'!$AG:$AH,2,FALSE)),0))</f>
        <v>0</v>
      </c>
      <c r="AY21" s="60">
        <f t="shared" si="9"/>
        <v>0</v>
      </c>
    </row>
    <row r="22" spans="1:51" x14ac:dyDescent="0.25">
      <c r="A22" s="71"/>
      <c r="B22" s="38"/>
      <c r="C22" s="38" t="s">
        <v>204</v>
      </c>
      <c r="D22" s="38" t="s">
        <v>205</v>
      </c>
      <c r="E22" s="99">
        <v>1.484</v>
      </c>
      <c r="F22" s="99">
        <v>0</v>
      </c>
      <c r="G22" s="38">
        <v>7</v>
      </c>
      <c r="H22" s="39">
        <f t="shared" si="10"/>
        <v>0.41552</v>
      </c>
      <c r="I22" s="39"/>
      <c r="J22" s="38">
        <f>SUMIF('KIRIM ANTAR UNIT'!B:B,'SETTING PRODUKSI SEPTEMBER AU'!C22,'KIRIM ANTAR UNIT'!E:E)</f>
        <v>0</v>
      </c>
      <c r="K22" s="38">
        <f>SUMIF('KIRIM ANTAR UNIT'!B:B,'SETTING PRODUKSI SEPTEMBER AU'!C22,'KIRIM ANTAR UNIT'!F:F)</f>
        <v>0</v>
      </c>
      <c r="L22" s="54">
        <v>0</v>
      </c>
      <c r="M22" s="40">
        <f t="shared" si="12"/>
        <v>0</v>
      </c>
      <c r="N22" s="41">
        <f>VLOOKUP(C22,'MASTER DATA'!B:D,3,0)</f>
        <v>1.4</v>
      </c>
      <c r="O22" s="77">
        <f t="shared" si="13"/>
        <v>0</v>
      </c>
      <c r="P22" s="42">
        <f t="shared" si="14"/>
        <v>-1.484</v>
      </c>
      <c r="Q22" s="77">
        <f t="shared" si="15"/>
        <v>-25</v>
      </c>
      <c r="R22" s="38"/>
      <c r="S22" s="38"/>
      <c r="U22" s="65">
        <v>1.2</v>
      </c>
      <c r="V22" s="66" t="s">
        <v>76</v>
      </c>
      <c r="W22" s="36"/>
      <c r="X22" s="36">
        <f t="shared" si="1"/>
        <v>143.15229167193178</v>
      </c>
      <c r="Y22" s="36"/>
      <c r="Z22" s="36"/>
      <c r="AA22" s="36">
        <f t="shared" si="2"/>
        <v>143.15229167193178</v>
      </c>
      <c r="AB22" s="38"/>
      <c r="AC22" s="60">
        <f>IF(AC$6="",IFERROR(VLOOKUP((AC$8&amp;"&amp;"&amp;$V22),'MASTER DATA'!$G:$M,7,FALSE)*AC$7*(VLOOKUP(AC$8,'MASTER DATA'!$AG:$AH,2,FALSE)),0),IFERROR(VLOOKUP((AC$8&amp;"&amp;"&amp;$V22),'MASTER DATA'!$G:$M,7,FALSE)*AC$6*(VLOOKUP(AC$8,'MASTER DATA'!$AG:$AH,2,FALSE)),0))</f>
        <v>0</v>
      </c>
      <c r="AD22" s="60">
        <f t="shared" si="0"/>
        <v>-143.15229167193178</v>
      </c>
      <c r="AE22" s="38"/>
      <c r="AF22" s="60">
        <f>IF(AF$6="",IFERROR(VLOOKUP((AF$8&amp;"&amp;"&amp;$V22),'MASTER DATA'!$G:$M,7,FALSE)*AF$7*(VLOOKUP(AF$8,'MASTER DATA'!$AG:$AH,2,FALSE)),0),IFERROR(VLOOKUP((AF$8&amp;"&amp;"&amp;$V22),'MASTER DATA'!$G:$M,7,FALSE)*AF$6*(VLOOKUP(AF$8,'MASTER DATA'!$AG:$AH,2,FALSE)),0))</f>
        <v>0</v>
      </c>
      <c r="AG22" s="60">
        <f t="shared" si="3"/>
        <v>-143.15229167193178</v>
      </c>
      <c r="AH22" s="38"/>
      <c r="AI22" s="60">
        <f>IF(AI$6="",IFERROR(VLOOKUP((AI$8&amp;"&amp;"&amp;$V22),'MASTER DATA'!$G:$M,7,FALSE)*AI$7*(VLOOKUP(AI$8,'MASTER DATA'!$AG:$AH,2,FALSE)),0),IFERROR(VLOOKUP((AI$8&amp;"&amp;"&amp;$V22),'MASTER DATA'!$G:$M,7,FALSE)*AI$6*(VLOOKUP(AI$8,'MASTER DATA'!$AG:$AH,2,FALSE)),0))</f>
        <v>0</v>
      </c>
      <c r="AJ22" s="60">
        <f t="shared" si="4"/>
        <v>-143.15229167193178</v>
      </c>
      <c r="AK22" s="38"/>
      <c r="AL22" s="60">
        <f>IF(AL$6="",IFERROR(VLOOKUP((AL$8&amp;"&amp;"&amp;$V22),'MASTER DATA'!$G:$M,7,FALSE)*AL$7*(VLOOKUP(AL$8,'MASTER DATA'!$AG:$AH,2,FALSE)),0),IFERROR(VLOOKUP((AL$8&amp;"&amp;"&amp;$V22),'MASTER DATA'!$G:$M,7,FALSE)*AL$6*(VLOOKUP(AL$8,'MASTER DATA'!$AG:$AH,2,FALSE)),0))</f>
        <v>0</v>
      </c>
      <c r="AM22" s="60">
        <f t="shared" si="5"/>
        <v>-143.15229167193178</v>
      </c>
      <c r="AN22" s="38"/>
      <c r="AO22" s="60">
        <f>IF(AO$6="",IFERROR(VLOOKUP((AO$8&amp;"&amp;"&amp;$V22),'MASTER DATA'!$G:$M,7,FALSE)*AO$7*(VLOOKUP(AO$8,'MASTER DATA'!$AG:$AH,2,FALSE)),0),IFERROR(VLOOKUP((AO$8&amp;"&amp;"&amp;$V22),'MASTER DATA'!$G:$M,7,FALSE)*AO$6*(VLOOKUP(AO$8,'MASTER DATA'!$AG:$AH,2,FALSE)),0))</f>
        <v>0</v>
      </c>
      <c r="AP22" s="60">
        <f t="shared" si="6"/>
        <v>-143.15229167193178</v>
      </c>
      <c r="AQ22" s="38"/>
      <c r="AR22" s="60">
        <f>IF(AR$6="",IFERROR(VLOOKUP((AR$8&amp;"&amp;"&amp;$V22),'MASTER DATA'!$G:$M,7,FALSE)*AR$7*(VLOOKUP(AR$8,'MASTER DATA'!$AG:$AH,2,FALSE)),0),IFERROR(VLOOKUP((AR$8&amp;"&amp;"&amp;$V22),'MASTER DATA'!$G:$M,7,FALSE)*AR$6*(VLOOKUP(AR$8,'MASTER DATA'!$AG:$AH,2,FALSE)),0))</f>
        <v>0</v>
      </c>
      <c r="AS22" s="60">
        <f t="shared" si="7"/>
        <v>-143.15229167193178</v>
      </c>
      <c r="AT22" s="38"/>
      <c r="AU22" s="60">
        <f>IF(AU$6="",IFERROR(VLOOKUP((AU$8&amp;"&amp;"&amp;$V22),'MASTER DATA'!$G:$M,7,FALSE)*AU$7*(VLOOKUP(AU$8,'MASTER DATA'!$AG:$AH,2,FALSE)),0),IFERROR(VLOOKUP((AU$8&amp;"&amp;"&amp;$V22),'MASTER DATA'!$G:$M,7,FALSE)*AU$6*(VLOOKUP(AU$8,'MASTER DATA'!$AG:$AH,2,FALSE)),0))</f>
        <v>0</v>
      </c>
      <c r="AV22" s="60">
        <f t="shared" si="8"/>
        <v>-143.15229167193178</v>
      </c>
      <c r="AW22" s="60"/>
      <c r="AX22" s="60">
        <f>IF(AX$6="",IFERROR(VLOOKUP((AX$8&amp;"&amp;"&amp;$V22),'MASTER DATA'!$G:$M,7,FALSE)*AX$7*(VLOOKUP(AX$8,'MASTER DATA'!$AG:$AH,2,FALSE)),0),IFERROR(VLOOKUP((AX$8&amp;"&amp;"&amp;$V22),'MASTER DATA'!$G:$M,7,FALSE)*AX$6*(VLOOKUP(AX$8,'MASTER DATA'!$AG:$AH,2,FALSE)),0))</f>
        <v>0</v>
      </c>
      <c r="AY22" s="60">
        <f t="shared" si="9"/>
        <v>-143.15229167193178</v>
      </c>
    </row>
    <row r="23" spans="1:51" x14ac:dyDescent="0.25">
      <c r="A23" s="71"/>
      <c r="B23" s="38"/>
      <c r="C23" s="38" t="s">
        <v>16</v>
      </c>
      <c r="D23" s="38" t="s">
        <v>17</v>
      </c>
      <c r="E23" s="99">
        <v>1.5403391352000002</v>
      </c>
      <c r="F23" s="99">
        <v>0.34986</v>
      </c>
      <c r="G23" s="38">
        <v>7</v>
      </c>
      <c r="H23" s="39">
        <f t="shared" si="10"/>
        <v>0.43129495785600008</v>
      </c>
      <c r="I23" s="39"/>
      <c r="J23" s="38">
        <f>SUMIF('KIRIM ANTAR UNIT'!B:B,'SETTING PRODUKSI SEPTEMBER AU'!C23,'KIRIM ANTAR UNIT'!E:E)</f>
        <v>0</v>
      </c>
      <c r="K23" s="38">
        <f>SUMIF('KIRIM ANTAR UNIT'!B:B,'SETTING PRODUKSI SEPTEMBER AU'!C23,'KIRIM ANTAR UNIT'!F:F)</f>
        <v>0</v>
      </c>
      <c r="L23" s="40">
        <f t="shared" si="11"/>
        <v>1.6217740930560003</v>
      </c>
      <c r="M23" s="40">
        <f t="shared" si="12"/>
        <v>6.4870963722240008E-2</v>
      </c>
      <c r="N23" s="41">
        <f>VLOOKUP(C23,'MASTER DATA'!B:D,3,0)</f>
        <v>1</v>
      </c>
      <c r="O23" s="77">
        <f t="shared" si="13"/>
        <v>64.870963722240006</v>
      </c>
      <c r="P23" s="42">
        <f t="shared" si="14"/>
        <v>0.43129495785600014</v>
      </c>
      <c r="Q23" s="77">
        <f t="shared" si="15"/>
        <v>7.0000000000000009</v>
      </c>
      <c r="R23" s="38"/>
      <c r="S23" s="38"/>
      <c r="U23" s="27">
        <v>1.3</v>
      </c>
      <c r="V23" s="18" t="s">
        <v>77</v>
      </c>
      <c r="W23" s="19"/>
      <c r="X23" s="19">
        <f t="shared" si="1"/>
        <v>1246.5329798840146</v>
      </c>
      <c r="Y23" s="19"/>
      <c r="Z23" s="19"/>
      <c r="AA23" s="19">
        <f t="shared" si="2"/>
        <v>1246.5329798840146</v>
      </c>
      <c r="AB23" s="38"/>
      <c r="AC23" s="60">
        <f>IF(AC$6="",IFERROR(VLOOKUP((AC$8&amp;"&amp;"&amp;$V23),'MASTER DATA'!$G:$M,7,FALSE)*AC$7*(VLOOKUP(AC$8,'MASTER DATA'!$AG:$AH,2,FALSE)),0),IFERROR(VLOOKUP((AC$8&amp;"&amp;"&amp;$V23),'MASTER DATA'!$G:$M,7,FALSE)*AC$6*(VLOOKUP(AC$8,'MASTER DATA'!$AG:$AH,2,FALSE)),0))</f>
        <v>0</v>
      </c>
      <c r="AD23" s="60">
        <f t="shared" si="0"/>
        <v>-1246.5329798840146</v>
      </c>
      <c r="AE23" s="38"/>
      <c r="AF23" s="60">
        <f>IF(AF$6="",IFERROR(VLOOKUP((AF$8&amp;"&amp;"&amp;$V23),'MASTER DATA'!$G:$M,7,FALSE)*AF$7*(VLOOKUP(AF$8,'MASTER DATA'!$AG:$AH,2,FALSE)),0),IFERROR(VLOOKUP((AF$8&amp;"&amp;"&amp;$V23),'MASTER DATA'!$G:$M,7,FALSE)*AF$6*(VLOOKUP(AF$8,'MASTER DATA'!$AG:$AH,2,FALSE)),0))</f>
        <v>0</v>
      </c>
      <c r="AG23" s="60">
        <f t="shared" si="3"/>
        <v>-1246.5329798840146</v>
      </c>
      <c r="AH23" s="38"/>
      <c r="AI23" s="60">
        <f>IF(AI$6="",IFERROR(VLOOKUP((AI$8&amp;"&amp;"&amp;$V23),'MASTER DATA'!$G:$M,7,FALSE)*AI$7*(VLOOKUP(AI$8,'MASTER DATA'!$AG:$AH,2,FALSE)),0),IFERROR(VLOOKUP((AI$8&amp;"&amp;"&amp;$V23),'MASTER DATA'!$G:$M,7,FALSE)*AI$6*(VLOOKUP(AI$8,'MASTER DATA'!$AG:$AH,2,FALSE)),0))</f>
        <v>0</v>
      </c>
      <c r="AJ23" s="60">
        <f t="shared" si="4"/>
        <v>-1246.5329798840146</v>
      </c>
      <c r="AK23" s="38"/>
      <c r="AL23" s="60">
        <f>IF(AL$6="",IFERROR(VLOOKUP((AL$8&amp;"&amp;"&amp;$V23),'MASTER DATA'!$G:$M,7,FALSE)*AL$7*(VLOOKUP(AL$8,'MASTER DATA'!$AG:$AH,2,FALSE)),0),IFERROR(VLOOKUP((AL$8&amp;"&amp;"&amp;$V23),'MASTER DATA'!$G:$M,7,FALSE)*AL$6*(VLOOKUP(AL$8,'MASTER DATA'!$AG:$AH,2,FALSE)),0))</f>
        <v>0</v>
      </c>
      <c r="AM23" s="60">
        <f t="shared" si="5"/>
        <v>-1246.5329798840146</v>
      </c>
      <c r="AN23" s="38"/>
      <c r="AO23" s="60">
        <f>IF(AO$6="",IFERROR(VLOOKUP((AO$8&amp;"&amp;"&amp;$V23),'MASTER DATA'!$G:$M,7,FALSE)*AO$7*(VLOOKUP(AO$8,'MASTER DATA'!$AG:$AH,2,FALSE)),0),IFERROR(VLOOKUP((AO$8&amp;"&amp;"&amp;$V23),'MASTER DATA'!$G:$M,7,FALSE)*AO$6*(VLOOKUP(AO$8,'MASTER DATA'!$AG:$AH,2,FALSE)),0))</f>
        <v>0</v>
      </c>
      <c r="AP23" s="60">
        <f t="shared" si="6"/>
        <v>-1246.5329798840146</v>
      </c>
      <c r="AQ23" s="38"/>
      <c r="AR23" s="60">
        <f>IF(AR$6="",IFERROR(VLOOKUP((AR$8&amp;"&amp;"&amp;$V23),'MASTER DATA'!$G:$M,7,FALSE)*AR$7*(VLOOKUP(AR$8,'MASTER DATA'!$AG:$AH,2,FALSE)),0),IFERROR(VLOOKUP((AR$8&amp;"&amp;"&amp;$V23),'MASTER DATA'!$G:$M,7,FALSE)*AR$6*(VLOOKUP(AR$8,'MASTER DATA'!$AG:$AH,2,FALSE)),0))</f>
        <v>0</v>
      </c>
      <c r="AS23" s="60">
        <f t="shared" si="7"/>
        <v>-1246.5329798840146</v>
      </c>
      <c r="AT23" s="38"/>
      <c r="AU23" s="60">
        <f>IF(AU$6="",IFERROR(VLOOKUP((AU$8&amp;"&amp;"&amp;$V23),'MASTER DATA'!$G:$M,7,FALSE)*AU$7*(VLOOKUP(AU$8,'MASTER DATA'!$AG:$AH,2,FALSE)),0),IFERROR(VLOOKUP((AU$8&amp;"&amp;"&amp;$V23),'MASTER DATA'!$G:$M,7,FALSE)*AU$6*(VLOOKUP(AU$8,'MASTER DATA'!$AG:$AH,2,FALSE)),0))</f>
        <v>0</v>
      </c>
      <c r="AV23" s="60">
        <f t="shared" si="8"/>
        <v>-1246.5329798840146</v>
      </c>
      <c r="AW23" s="60"/>
      <c r="AX23" s="60">
        <f>IF(AX$6="",IFERROR(VLOOKUP((AX$8&amp;"&amp;"&amp;$V23),'MASTER DATA'!$G:$M,7,FALSE)*AX$7*(VLOOKUP(AX$8,'MASTER DATA'!$AG:$AH,2,FALSE)),0),IFERROR(VLOOKUP((AX$8&amp;"&amp;"&amp;$V23),'MASTER DATA'!$G:$M,7,FALSE)*AX$6*(VLOOKUP(AX$8,'MASTER DATA'!$AG:$AH,2,FALSE)),0))</f>
        <v>0</v>
      </c>
      <c r="AY23" s="60">
        <f t="shared" si="9"/>
        <v>-1246.5329798840146</v>
      </c>
    </row>
    <row r="24" spans="1:51" x14ac:dyDescent="0.25">
      <c r="A24" s="71"/>
      <c r="B24" s="38"/>
      <c r="C24" s="38" t="s">
        <v>206</v>
      </c>
      <c r="D24" s="38" t="s">
        <v>207</v>
      </c>
      <c r="E24" s="99">
        <v>0.94414303080000006</v>
      </c>
      <c r="F24" s="99">
        <v>0.63124000000000002</v>
      </c>
      <c r="G24" s="38">
        <v>7</v>
      </c>
      <c r="H24" s="39">
        <f t="shared" si="10"/>
        <v>0.26436004862400003</v>
      </c>
      <c r="I24" s="39"/>
      <c r="J24" s="38">
        <f>SUMIF('KIRIM ANTAR UNIT'!B:B,'SETTING PRODUKSI SEPTEMBER AU'!C24,'KIRIM ANTAR UNIT'!E:E)</f>
        <v>0</v>
      </c>
      <c r="K24" s="38">
        <f>SUMIF('KIRIM ANTAR UNIT'!B:B,'SETTING PRODUKSI SEPTEMBER AU'!C24,'KIRIM ANTAR UNIT'!F:F)</f>
        <v>0</v>
      </c>
      <c r="L24" s="40">
        <f t="shared" si="11"/>
        <v>0.57726307942400013</v>
      </c>
      <c r="M24" s="40">
        <f t="shared" si="12"/>
        <v>2.3090523176960004E-2</v>
      </c>
      <c r="N24" s="41">
        <f>VLOOKUP(C24,'MASTER DATA'!B:D,3,0)</f>
        <v>1</v>
      </c>
      <c r="O24" s="77">
        <f t="shared" si="13"/>
        <v>23.090523176960005</v>
      </c>
      <c r="P24" s="42">
        <f t="shared" si="14"/>
        <v>0.26436004862400009</v>
      </c>
      <c r="Q24" s="77">
        <f t="shared" si="15"/>
        <v>7.0000000000000018</v>
      </c>
      <c r="R24" s="38"/>
      <c r="S24" s="38"/>
      <c r="U24" s="27">
        <v>1.4</v>
      </c>
      <c r="V24" s="24" t="s">
        <v>78</v>
      </c>
      <c r="W24" s="19"/>
      <c r="X24" s="19">
        <f t="shared" si="1"/>
        <v>34.127686329459387</v>
      </c>
      <c r="Y24" s="19"/>
      <c r="Z24" s="19"/>
      <c r="AA24" s="19">
        <f t="shared" si="2"/>
        <v>34.127686329459387</v>
      </c>
      <c r="AB24" s="38"/>
      <c r="AC24" s="60">
        <f>IF(AC$6="",IFERROR(VLOOKUP((AC$8&amp;"&amp;"&amp;$V24),'MASTER DATA'!$G:$M,7,FALSE)*AC$7*(VLOOKUP(AC$8,'MASTER DATA'!$AG:$AH,2,FALSE)),0),IFERROR(VLOOKUP((AC$8&amp;"&amp;"&amp;$V24),'MASTER DATA'!$G:$M,7,FALSE)*AC$6*(VLOOKUP(AC$8,'MASTER DATA'!$AG:$AH,2,FALSE)),0))</f>
        <v>0</v>
      </c>
      <c r="AD24" s="60">
        <f t="shared" si="0"/>
        <v>-34.127686329459387</v>
      </c>
      <c r="AE24" s="38"/>
      <c r="AF24" s="60">
        <f>IF(AF$6="",IFERROR(VLOOKUP((AF$8&amp;"&amp;"&amp;$V24),'MASTER DATA'!$G:$M,7,FALSE)*AF$7*(VLOOKUP(AF$8,'MASTER DATA'!$AG:$AH,2,FALSE)),0),IFERROR(VLOOKUP((AF$8&amp;"&amp;"&amp;$V24),'MASTER DATA'!$G:$M,7,FALSE)*AF$6*(VLOOKUP(AF$8,'MASTER DATA'!$AG:$AH,2,FALSE)),0))</f>
        <v>0</v>
      </c>
      <c r="AG24" s="60">
        <f t="shared" si="3"/>
        <v>-34.127686329459387</v>
      </c>
      <c r="AH24" s="38"/>
      <c r="AI24" s="60">
        <f>IF(AI$6="",IFERROR(VLOOKUP((AI$8&amp;"&amp;"&amp;$V24),'MASTER DATA'!$G:$M,7,FALSE)*AI$7*(VLOOKUP(AI$8,'MASTER DATA'!$AG:$AH,2,FALSE)),0),IFERROR(VLOOKUP((AI$8&amp;"&amp;"&amp;$V24),'MASTER DATA'!$G:$M,7,FALSE)*AI$6*(VLOOKUP(AI$8,'MASTER DATA'!$AG:$AH,2,FALSE)),0))</f>
        <v>0</v>
      </c>
      <c r="AJ24" s="60">
        <f t="shared" si="4"/>
        <v>-34.127686329459387</v>
      </c>
      <c r="AK24" s="38"/>
      <c r="AL24" s="60">
        <f>IF(AL$6="",IFERROR(VLOOKUP((AL$8&amp;"&amp;"&amp;$V24),'MASTER DATA'!$G:$M,7,FALSE)*AL$7*(VLOOKUP(AL$8,'MASTER DATA'!$AG:$AH,2,FALSE)),0),IFERROR(VLOOKUP((AL$8&amp;"&amp;"&amp;$V24),'MASTER DATA'!$G:$M,7,FALSE)*AL$6*(VLOOKUP(AL$8,'MASTER DATA'!$AG:$AH,2,FALSE)),0))</f>
        <v>0</v>
      </c>
      <c r="AM24" s="60">
        <f t="shared" si="5"/>
        <v>-34.127686329459387</v>
      </c>
      <c r="AN24" s="38"/>
      <c r="AO24" s="60">
        <f>IF(AO$6="",IFERROR(VLOOKUP((AO$8&amp;"&amp;"&amp;$V24),'MASTER DATA'!$G:$M,7,FALSE)*AO$7*(VLOOKUP(AO$8,'MASTER DATA'!$AG:$AH,2,FALSE)),0),IFERROR(VLOOKUP((AO$8&amp;"&amp;"&amp;$V24),'MASTER DATA'!$G:$M,7,FALSE)*AO$6*(VLOOKUP(AO$8,'MASTER DATA'!$AG:$AH,2,FALSE)),0))</f>
        <v>0</v>
      </c>
      <c r="AP24" s="60">
        <f t="shared" si="6"/>
        <v>-34.127686329459387</v>
      </c>
      <c r="AQ24" s="38"/>
      <c r="AR24" s="60">
        <f>IF(AR$6="",IFERROR(VLOOKUP((AR$8&amp;"&amp;"&amp;$V24),'MASTER DATA'!$G:$M,7,FALSE)*AR$7*(VLOOKUP(AR$8,'MASTER DATA'!$AG:$AH,2,FALSE)),0),IFERROR(VLOOKUP((AR$8&amp;"&amp;"&amp;$V24),'MASTER DATA'!$G:$M,7,FALSE)*AR$6*(VLOOKUP(AR$8,'MASTER DATA'!$AG:$AH,2,FALSE)),0))</f>
        <v>0</v>
      </c>
      <c r="AS24" s="60">
        <f t="shared" si="7"/>
        <v>-34.127686329459387</v>
      </c>
      <c r="AT24" s="38"/>
      <c r="AU24" s="60">
        <f>IF(AU$6="",IFERROR(VLOOKUP((AU$8&amp;"&amp;"&amp;$V24),'MASTER DATA'!$G:$M,7,FALSE)*AU$7*(VLOOKUP(AU$8,'MASTER DATA'!$AG:$AH,2,FALSE)),0),IFERROR(VLOOKUP((AU$8&amp;"&amp;"&amp;$V24),'MASTER DATA'!$G:$M,7,FALSE)*AU$6*(VLOOKUP(AU$8,'MASTER DATA'!$AG:$AH,2,FALSE)),0))</f>
        <v>0</v>
      </c>
      <c r="AV24" s="60">
        <f t="shared" si="8"/>
        <v>-34.127686329459387</v>
      </c>
      <c r="AW24" s="60"/>
      <c r="AX24" s="60">
        <f>IF(AX$6="",IFERROR(VLOOKUP((AX$8&amp;"&amp;"&amp;$V24),'MASTER DATA'!$G:$M,7,FALSE)*AX$7*(VLOOKUP(AX$8,'MASTER DATA'!$AG:$AH,2,FALSE)),0),IFERROR(VLOOKUP((AX$8&amp;"&amp;"&amp;$V24),'MASTER DATA'!$G:$M,7,FALSE)*AX$6*(VLOOKUP(AX$8,'MASTER DATA'!$AG:$AH,2,FALSE)),0))</f>
        <v>0</v>
      </c>
      <c r="AY24" s="60">
        <f t="shared" si="9"/>
        <v>-34.127686329459387</v>
      </c>
    </row>
    <row r="25" spans="1:51" x14ac:dyDescent="0.25">
      <c r="A25" s="71"/>
      <c r="B25" s="38"/>
      <c r="C25" s="38" t="s">
        <v>0</v>
      </c>
      <c r="D25" s="38" t="s">
        <v>1</v>
      </c>
      <c r="E25" s="99">
        <v>0.19354746879999998</v>
      </c>
      <c r="F25" s="99">
        <v>1.5644279999999999</v>
      </c>
      <c r="G25" s="38">
        <v>7</v>
      </c>
      <c r="H25" s="39">
        <f t="shared" si="10"/>
        <v>5.4193291263999993E-2</v>
      </c>
      <c r="I25" s="39"/>
      <c r="J25" s="38">
        <f>SUMIF('KIRIM ANTAR UNIT'!B:B,'SETTING PRODUKSI SEPTEMBER AU'!C25,'KIRIM ANTAR UNIT'!E:E)</f>
        <v>0</v>
      </c>
      <c r="K25" s="38">
        <f>SUMIF('KIRIM ANTAR UNIT'!B:B,'SETTING PRODUKSI SEPTEMBER AU'!C25,'KIRIM ANTAR UNIT'!F:F)</f>
        <v>0</v>
      </c>
      <c r="L25" s="40">
        <f t="shared" si="11"/>
        <v>0</v>
      </c>
      <c r="M25" s="40">
        <f t="shared" si="12"/>
        <v>0</v>
      </c>
      <c r="N25" s="41">
        <f>VLOOKUP(C25,'MASTER DATA'!B:D,3,0)</f>
        <v>1.1000000000000001</v>
      </c>
      <c r="O25" s="77">
        <f t="shared" si="13"/>
        <v>0</v>
      </c>
      <c r="P25" s="42">
        <f t="shared" si="14"/>
        <v>1.3708805311999999</v>
      </c>
      <c r="Q25" s="77">
        <f t="shared" si="15"/>
        <v>177.07290874165128</v>
      </c>
      <c r="R25" s="38"/>
      <c r="S25" s="38"/>
      <c r="U25" s="27">
        <v>1.5</v>
      </c>
      <c r="V25" s="18" t="s">
        <v>79</v>
      </c>
      <c r="W25" s="19"/>
      <c r="X25" s="19">
        <f t="shared" si="1"/>
        <v>0</v>
      </c>
      <c r="Y25" s="19"/>
      <c r="Z25" s="19"/>
      <c r="AA25" s="19">
        <f t="shared" si="2"/>
        <v>0</v>
      </c>
      <c r="AB25" s="38"/>
      <c r="AC25" s="60">
        <f>IF(AC$6="",IFERROR(VLOOKUP((AC$8&amp;"&amp;"&amp;$V25),'MASTER DATA'!$G:$M,7,FALSE)*AC$7*(VLOOKUP(AC$8,'MASTER DATA'!$AG:$AH,2,FALSE)),0),IFERROR(VLOOKUP((AC$8&amp;"&amp;"&amp;$V25),'MASTER DATA'!$G:$M,7,FALSE)*AC$6*(VLOOKUP(AC$8,'MASTER DATA'!$AG:$AH,2,FALSE)),0))</f>
        <v>0</v>
      </c>
      <c r="AD25" s="60">
        <f t="shared" si="0"/>
        <v>0</v>
      </c>
      <c r="AE25" s="38"/>
      <c r="AF25" s="60">
        <f>IF(AF$6="",IFERROR(VLOOKUP((AF$8&amp;"&amp;"&amp;$V25),'MASTER DATA'!$G:$M,7,FALSE)*AF$7*(VLOOKUP(AF$8,'MASTER DATA'!$AG:$AH,2,FALSE)),0),IFERROR(VLOOKUP((AF$8&amp;"&amp;"&amp;$V25),'MASTER DATA'!$G:$M,7,FALSE)*AF$6*(VLOOKUP(AF$8,'MASTER DATA'!$AG:$AH,2,FALSE)),0))</f>
        <v>0</v>
      </c>
      <c r="AG25" s="60">
        <f t="shared" si="3"/>
        <v>0</v>
      </c>
      <c r="AH25" s="38"/>
      <c r="AI25" s="60">
        <f>IF(AI$6="",IFERROR(VLOOKUP((AI$8&amp;"&amp;"&amp;$V25),'MASTER DATA'!$G:$M,7,FALSE)*AI$7*(VLOOKUP(AI$8,'MASTER DATA'!$AG:$AH,2,FALSE)),0),IFERROR(VLOOKUP((AI$8&amp;"&amp;"&amp;$V25),'MASTER DATA'!$G:$M,7,FALSE)*AI$6*(VLOOKUP(AI$8,'MASTER DATA'!$AG:$AH,2,FALSE)),0))</f>
        <v>0</v>
      </c>
      <c r="AJ25" s="60">
        <f t="shared" si="4"/>
        <v>0</v>
      </c>
      <c r="AK25" s="38"/>
      <c r="AL25" s="60">
        <f>IF(AL$6="",IFERROR(VLOOKUP((AL$8&amp;"&amp;"&amp;$V25),'MASTER DATA'!$G:$M,7,FALSE)*AL$7*(VLOOKUP(AL$8,'MASTER DATA'!$AG:$AH,2,FALSE)),0),IFERROR(VLOOKUP((AL$8&amp;"&amp;"&amp;$V25),'MASTER DATA'!$G:$M,7,FALSE)*AL$6*(VLOOKUP(AL$8,'MASTER DATA'!$AG:$AH,2,FALSE)),0))</f>
        <v>0</v>
      </c>
      <c r="AM25" s="60">
        <f t="shared" si="5"/>
        <v>0</v>
      </c>
      <c r="AN25" s="38"/>
      <c r="AO25" s="60">
        <f>IF(AO$6="",IFERROR(VLOOKUP((AO$8&amp;"&amp;"&amp;$V25),'MASTER DATA'!$G:$M,7,FALSE)*AO$7*(VLOOKUP(AO$8,'MASTER DATA'!$AG:$AH,2,FALSE)),0),IFERROR(VLOOKUP((AO$8&amp;"&amp;"&amp;$V25),'MASTER DATA'!$G:$M,7,FALSE)*AO$6*(VLOOKUP(AO$8,'MASTER DATA'!$AG:$AH,2,FALSE)),0))</f>
        <v>0</v>
      </c>
      <c r="AP25" s="60">
        <f t="shared" si="6"/>
        <v>0</v>
      </c>
      <c r="AQ25" s="38"/>
      <c r="AR25" s="60">
        <f>IF(AR$6="",IFERROR(VLOOKUP((AR$8&amp;"&amp;"&amp;$V25),'MASTER DATA'!$G:$M,7,FALSE)*AR$7*(VLOOKUP(AR$8,'MASTER DATA'!$AG:$AH,2,FALSE)),0),IFERROR(VLOOKUP((AR$8&amp;"&amp;"&amp;$V25),'MASTER DATA'!$G:$M,7,FALSE)*AR$6*(VLOOKUP(AR$8,'MASTER DATA'!$AG:$AH,2,FALSE)),0))</f>
        <v>0</v>
      </c>
      <c r="AS25" s="60">
        <f t="shared" si="7"/>
        <v>0</v>
      </c>
      <c r="AT25" s="38"/>
      <c r="AU25" s="60">
        <f>IF(AU$6="",IFERROR(VLOOKUP((AU$8&amp;"&amp;"&amp;$V25),'MASTER DATA'!$G:$M,7,FALSE)*AU$7*(VLOOKUP(AU$8,'MASTER DATA'!$AG:$AH,2,FALSE)),0),IFERROR(VLOOKUP((AU$8&amp;"&amp;"&amp;$V25),'MASTER DATA'!$G:$M,7,FALSE)*AU$6*(VLOOKUP(AU$8,'MASTER DATA'!$AG:$AH,2,FALSE)),0))</f>
        <v>0</v>
      </c>
      <c r="AV25" s="60">
        <f t="shared" si="8"/>
        <v>0</v>
      </c>
      <c r="AW25" s="60"/>
      <c r="AX25" s="60">
        <f>IF(AX$6="",IFERROR(VLOOKUP((AX$8&amp;"&amp;"&amp;$V25),'MASTER DATA'!$G:$M,7,FALSE)*AX$7*(VLOOKUP(AX$8,'MASTER DATA'!$AG:$AH,2,FALSE)),0),IFERROR(VLOOKUP((AX$8&amp;"&amp;"&amp;$V25),'MASTER DATA'!$G:$M,7,FALSE)*AX$6*(VLOOKUP(AX$8,'MASTER DATA'!$AG:$AH,2,FALSE)),0))</f>
        <v>0</v>
      </c>
      <c r="AY25" s="60">
        <f t="shared" si="9"/>
        <v>0</v>
      </c>
    </row>
    <row r="26" spans="1:51" x14ac:dyDescent="0.25">
      <c r="A26" s="71"/>
      <c r="B26" s="38"/>
      <c r="C26" s="38" t="s">
        <v>208</v>
      </c>
      <c r="D26" s="38" t="s">
        <v>209</v>
      </c>
      <c r="E26" s="99">
        <v>6.4420421472000005</v>
      </c>
      <c r="F26" s="99">
        <v>6.1916599999999997</v>
      </c>
      <c r="G26" s="38">
        <v>7</v>
      </c>
      <c r="H26" s="39">
        <f t="shared" si="10"/>
        <v>1.803771801216</v>
      </c>
      <c r="I26" s="39"/>
      <c r="J26" s="38">
        <f>SUMIF('KIRIM ANTAR UNIT'!B:B,'SETTING PRODUKSI SEPTEMBER AU'!C26,'KIRIM ANTAR UNIT'!E:E)</f>
        <v>0</v>
      </c>
      <c r="K26" s="38">
        <f>SUMIF('KIRIM ANTAR UNIT'!B:B,'SETTING PRODUKSI SEPTEMBER AU'!C26,'KIRIM ANTAR UNIT'!F:F)</f>
        <v>0</v>
      </c>
      <c r="L26" s="40">
        <f t="shared" si="11"/>
        <v>2.0541539484160007</v>
      </c>
      <c r="M26" s="40">
        <f t="shared" si="12"/>
        <v>8.2166157936640033E-2</v>
      </c>
      <c r="N26" s="41">
        <f>VLOOKUP(C26,'MASTER DATA'!B:D,3,0)</f>
        <v>0.7</v>
      </c>
      <c r="O26" s="77">
        <f t="shared" si="13"/>
        <v>117.38022562377148</v>
      </c>
      <c r="P26" s="42">
        <f t="shared" si="14"/>
        <v>1.8037718012159996</v>
      </c>
      <c r="Q26" s="77">
        <f t="shared" si="15"/>
        <v>6.9999999999999982</v>
      </c>
      <c r="R26" s="38"/>
      <c r="S26" s="38"/>
      <c r="U26" s="27">
        <v>1.6</v>
      </c>
      <c r="V26" s="24" t="s">
        <v>339</v>
      </c>
      <c r="W26" s="19"/>
      <c r="X26" s="19">
        <f t="shared" si="1"/>
        <v>0</v>
      </c>
      <c r="Y26" s="19"/>
      <c r="Z26" s="19"/>
      <c r="AA26" s="19">
        <f t="shared" si="2"/>
        <v>0</v>
      </c>
      <c r="AB26" s="38"/>
      <c r="AC26" s="60">
        <f>IF(AC$6="",IFERROR(VLOOKUP((AC$8&amp;"&amp;"&amp;$V26),'MASTER DATA'!$G:$M,7,FALSE)*AC$7*(VLOOKUP(AC$8,'MASTER DATA'!$AG:$AH,2,FALSE)),0),IFERROR(VLOOKUP((AC$8&amp;"&amp;"&amp;$V26),'MASTER DATA'!$G:$M,7,FALSE)*AC$6*(VLOOKUP(AC$8,'MASTER DATA'!$AG:$AH,2,FALSE)),0))</f>
        <v>0</v>
      </c>
      <c r="AD26" s="60">
        <f t="shared" si="0"/>
        <v>0</v>
      </c>
      <c r="AE26" s="38"/>
      <c r="AF26" s="60">
        <f>IF(AF$6="",IFERROR(VLOOKUP((AF$8&amp;"&amp;"&amp;$V26),'MASTER DATA'!$G:$M,7,FALSE)*AF$7*(VLOOKUP(AF$8,'MASTER DATA'!$AG:$AH,2,FALSE)),0),IFERROR(VLOOKUP((AF$8&amp;"&amp;"&amp;$V26),'MASTER DATA'!$G:$M,7,FALSE)*AF$6*(VLOOKUP(AF$8,'MASTER DATA'!$AG:$AH,2,FALSE)),0))</f>
        <v>0</v>
      </c>
      <c r="AG26" s="60">
        <f t="shared" si="3"/>
        <v>0</v>
      </c>
      <c r="AH26" s="38"/>
      <c r="AI26" s="60">
        <f>IF(AI$6="",IFERROR(VLOOKUP((AI$8&amp;"&amp;"&amp;$V26),'MASTER DATA'!$G:$M,7,FALSE)*AI$7*(VLOOKUP(AI$8,'MASTER DATA'!$AG:$AH,2,FALSE)),0),IFERROR(VLOOKUP((AI$8&amp;"&amp;"&amp;$V26),'MASTER DATA'!$G:$M,7,FALSE)*AI$6*(VLOOKUP(AI$8,'MASTER DATA'!$AG:$AH,2,FALSE)),0))</f>
        <v>0</v>
      </c>
      <c r="AJ26" s="60">
        <f t="shared" si="4"/>
        <v>0</v>
      </c>
      <c r="AK26" s="38"/>
      <c r="AL26" s="60">
        <f>IF(AL$6="",IFERROR(VLOOKUP((AL$8&amp;"&amp;"&amp;$V26),'MASTER DATA'!$G:$M,7,FALSE)*AL$7*(VLOOKUP(AL$8,'MASTER DATA'!$AG:$AH,2,FALSE)),0),IFERROR(VLOOKUP((AL$8&amp;"&amp;"&amp;$V26),'MASTER DATA'!$G:$M,7,FALSE)*AL$6*(VLOOKUP(AL$8,'MASTER DATA'!$AG:$AH,2,FALSE)),0))</f>
        <v>0</v>
      </c>
      <c r="AM26" s="60">
        <f t="shared" si="5"/>
        <v>0</v>
      </c>
      <c r="AN26" s="38"/>
      <c r="AO26" s="60">
        <f>IF(AO$6="",IFERROR(VLOOKUP((AO$8&amp;"&amp;"&amp;$V26),'MASTER DATA'!$G:$M,7,FALSE)*AO$7*(VLOOKUP(AO$8,'MASTER DATA'!$AG:$AH,2,FALSE)),0),IFERROR(VLOOKUP((AO$8&amp;"&amp;"&amp;$V26),'MASTER DATA'!$G:$M,7,FALSE)*AO$6*(VLOOKUP(AO$8,'MASTER DATA'!$AG:$AH,2,FALSE)),0))</f>
        <v>0</v>
      </c>
      <c r="AP26" s="60">
        <f t="shared" si="6"/>
        <v>0</v>
      </c>
      <c r="AQ26" s="38"/>
      <c r="AR26" s="60">
        <f>IF(AR$6="",IFERROR(VLOOKUP((AR$8&amp;"&amp;"&amp;$V26),'MASTER DATA'!$G:$M,7,FALSE)*AR$7*(VLOOKUP(AR$8,'MASTER DATA'!$AG:$AH,2,FALSE)),0),IFERROR(VLOOKUP((AR$8&amp;"&amp;"&amp;$V26),'MASTER DATA'!$G:$M,7,FALSE)*AR$6*(VLOOKUP(AR$8,'MASTER DATA'!$AG:$AH,2,FALSE)),0))</f>
        <v>0</v>
      </c>
      <c r="AS26" s="60">
        <f t="shared" si="7"/>
        <v>0</v>
      </c>
      <c r="AT26" s="38"/>
      <c r="AU26" s="60">
        <f>IF(AU$6="",IFERROR(VLOOKUP((AU$8&amp;"&amp;"&amp;$V26),'MASTER DATA'!$G:$M,7,FALSE)*AU$7*(VLOOKUP(AU$8,'MASTER DATA'!$AG:$AH,2,FALSE)),0),IFERROR(VLOOKUP((AU$8&amp;"&amp;"&amp;$V26),'MASTER DATA'!$G:$M,7,FALSE)*AU$6*(VLOOKUP(AU$8,'MASTER DATA'!$AG:$AH,2,FALSE)),0))</f>
        <v>0</v>
      </c>
      <c r="AV26" s="60">
        <f t="shared" si="8"/>
        <v>0</v>
      </c>
      <c r="AW26" s="60">
        <v>1</v>
      </c>
      <c r="AX26" s="60">
        <f>IF(AX$6="",IFERROR(VLOOKUP((AX$8&amp;"&amp;"&amp;$V26),'MASTER DATA'!$G:$M,7,FALSE)*AX$7*(VLOOKUP(AX$8,'MASTER DATA'!$AG:$AH,2,FALSE)),0),IFERROR(VLOOKUP((AX$8&amp;"&amp;"&amp;$V26),'MASTER DATA'!$G:$M,7,FALSE)*AX$6*(VLOOKUP(AX$8,'MASTER DATA'!$AG:$AH,2,FALSE)),0))</f>
        <v>0</v>
      </c>
      <c r="AY26" s="60">
        <f t="shared" si="9"/>
        <v>0</v>
      </c>
    </row>
    <row r="27" spans="1:51" x14ac:dyDescent="0.25">
      <c r="A27" s="71"/>
      <c r="B27" s="38"/>
      <c r="C27" s="38" t="s">
        <v>166</v>
      </c>
      <c r="D27" s="38" t="s">
        <v>167</v>
      </c>
      <c r="E27" s="99">
        <v>19.3170975912</v>
      </c>
      <c r="F27" s="99">
        <v>1.4595</v>
      </c>
      <c r="G27" s="38">
        <v>7</v>
      </c>
      <c r="H27" s="39">
        <f t="shared" si="10"/>
        <v>5.4087873255360002</v>
      </c>
      <c r="I27" s="39"/>
      <c r="J27" s="38">
        <f>SUMIF('KIRIM ANTAR UNIT'!B:B,'SETTING PRODUKSI SEPTEMBER AU'!C27,'KIRIM ANTAR UNIT'!E:E)</f>
        <v>0</v>
      </c>
      <c r="K27" s="38">
        <f>SUMIF('KIRIM ANTAR UNIT'!B:B,'SETTING PRODUKSI SEPTEMBER AU'!C27,'KIRIM ANTAR UNIT'!F:F)</f>
        <v>0</v>
      </c>
      <c r="L27" s="40">
        <f t="shared" si="11"/>
        <v>23.266384916736001</v>
      </c>
      <c r="M27" s="40">
        <f t="shared" si="12"/>
        <v>0.93065539666944008</v>
      </c>
      <c r="N27" s="41">
        <f>VLOOKUP(C27,'MASTER DATA'!B:D,3,0)</f>
        <v>0.8</v>
      </c>
      <c r="O27" s="77">
        <f t="shared" si="13"/>
        <v>1163.3192458368001</v>
      </c>
      <c r="P27" s="42">
        <f t="shared" si="14"/>
        <v>5.4087873255360002</v>
      </c>
      <c r="Q27" s="77">
        <f t="shared" si="15"/>
        <v>7</v>
      </c>
      <c r="R27" s="38"/>
      <c r="S27" s="38"/>
      <c r="U27" s="31">
        <v>1.7</v>
      </c>
      <c r="V27" s="24" t="s">
        <v>81</v>
      </c>
      <c r="W27" s="19"/>
      <c r="X27" s="19">
        <f t="shared" si="1"/>
        <v>0</v>
      </c>
      <c r="Y27" s="19"/>
      <c r="Z27" s="19"/>
      <c r="AA27" s="19">
        <f t="shared" si="2"/>
        <v>0</v>
      </c>
      <c r="AB27" s="38"/>
      <c r="AC27" s="60">
        <f>IF(AC$6="",IFERROR(VLOOKUP((AC$8&amp;"&amp;"&amp;$V27),'MASTER DATA'!$G:$M,7,FALSE)*AC$7*(VLOOKUP(AC$8,'MASTER DATA'!$AG:$AH,2,FALSE)),0),IFERROR(VLOOKUP((AC$8&amp;"&amp;"&amp;$V27),'MASTER DATA'!$G:$M,7,FALSE)*AC$6*(VLOOKUP(AC$8,'MASTER DATA'!$AG:$AH,2,FALSE)),0))</f>
        <v>0</v>
      </c>
      <c r="AD27" s="60">
        <f t="shared" si="0"/>
        <v>0</v>
      </c>
      <c r="AE27" s="38"/>
      <c r="AF27" s="60">
        <f>IF(AF$6="",IFERROR(VLOOKUP((AF$8&amp;"&amp;"&amp;$V27),'MASTER DATA'!$G:$M,7,FALSE)*AF$7*(VLOOKUP(AF$8,'MASTER DATA'!$AG:$AH,2,FALSE)),0),IFERROR(VLOOKUP((AF$8&amp;"&amp;"&amp;$V27),'MASTER DATA'!$G:$M,7,FALSE)*AF$6*(VLOOKUP(AF$8,'MASTER DATA'!$AG:$AH,2,FALSE)),0))</f>
        <v>0</v>
      </c>
      <c r="AG27" s="60">
        <f t="shared" si="3"/>
        <v>0</v>
      </c>
      <c r="AH27" s="38"/>
      <c r="AI27" s="60">
        <f>IF(AI$6="",IFERROR(VLOOKUP((AI$8&amp;"&amp;"&amp;$V27),'MASTER DATA'!$G:$M,7,FALSE)*AI$7*(VLOOKUP(AI$8,'MASTER DATA'!$AG:$AH,2,FALSE)),0),IFERROR(VLOOKUP((AI$8&amp;"&amp;"&amp;$V27),'MASTER DATA'!$G:$M,7,FALSE)*AI$6*(VLOOKUP(AI$8,'MASTER DATA'!$AG:$AH,2,FALSE)),0))</f>
        <v>0</v>
      </c>
      <c r="AJ27" s="60">
        <f t="shared" si="4"/>
        <v>0</v>
      </c>
      <c r="AK27" s="38"/>
      <c r="AL27" s="60">
        <f>IF(AL$6="",IFERROR(VLOOKUP((AL$8&amp;"&amp;"&amp;$V27),'MASTER DATA'!$G:$M,7,FALSE)*AL$7*(VLOOKUP(AL$8,'MASTER DATA'!$AG:$AH,2,FALSE)),0),IFERROR(VLOOKUP((AL$8&amp;"&amp;"&amp;$V27),'MASTER DATA'!$G:$M,7,FALSE)*AL$6*(VLOOKUP(AL$8,'MASTER DATA'!$AG:$AH,2,FALSE)),0))</f>
        <v>0</v>
      </c>
      <c r="AM27" s="60">
        <f t="shared" si="5"/>
        <v>0</v>
      </c>
      <c r="AN27" s="38"/>
      <c r="AO27" s="60">
        <f>IF(AO$6="",IFERROR(VLOOKUP((AO$8&amp;"&amp;"&amp;$V27),'MASTER DATA'!$G:$M,7,FALSE)*AO$7*(VLOOKUP(AO$8,'MASTER DATA'!$AG:$AH,2,FALSE)),0),IFERROR(VLOOKUP((AO$8&amp;"&amp;"&amp;$V27),'MASTER DATA'!$G:$M,7,FALSE)*AO$6*(VLOOKUP(AO$8,'MASTER DATA'!$AG:$AH,2,FALSE)),0))</f>
        <v>0</v>
      </c>
      <c r="AP27" s="60">
        <f t="shared" si="6"/>
        <v>0</v>
      </c>
      <c r="AQ27" s="38"/>
      <c r="AR27" s="60">
        <f>IF(AR$6="",IFERROR(VLOOKUP((AR$8&amp;"&amp;"&amp;$V27),'MASTER DATA'!$G:$M,7,FALSE)*AR$7*(VLOOKUP(AR$8,'MASTER DATA'!$AG:$AH,2,FALSE)),0),IFERROR(VLOOKUP((AR$8&amp;"&amp;"&amp;$V27),'MASTER DATA'!$G:$M,7,FALSE)*AR$6*(VLOOKUP(AR$8,'MASTER DATA'!$AG:$AH,2,FALSE)),0))</f>
        <v>0</v>
      </c>
      <c r="AS27" s="60">
        <f t="shared" si="7"/>
        <v>0</v>
      </c>
      <c r="AT27" s="38"/>
      <c r="AU27" s="60">
        <f>IF(AU$6="",IFERROR(VLOOKUP((AU$8&amp;"&amp;"&amp;$V27),'MASTER DATA'!$G:$M,7,FALSE)*AU$7*(VLOOKUP(AU$8,'MASTER DATA'!$AG:$AH,2,FALSE)),0),IFERROR(VLOOKUP((AU$8&amp;"&amp;"&amp;$V27),'MASTER DATA'!$G:$M,7,FALSE)*AU$6*(VLOOKUP(AU$8,'MASTER DATA'!$AG:$AH,2,FALSE)),0))</f>
        <v>0</v>
      </c>
      <c r="AV27" s="60">
        <f t="shared" si="8"/>
        <v>0</v>
      </c>
      <c r="AW27" s="60"/>
      <c r="AX27" s="60">
        <f>IF(AX$6="",IFERROR(VLOOKUP((AX$8&amp;"&amp;"&amp;$V27),'MASTER DATA'!$G:$M,7,FALSE)*AX$7*(VLOOKUP(AX$8,'MASTER DATA'!$AG:$AH,2,FALSE)),0),IFERROR(VLOOKUP((AX$8&amp;"&amp;"&amp;$V27),'MASTER DATA'!$G:$M,7,FALSE)*AX$6*(VLOOKUP(AX$8,'MASTER DATA'!$AG:$AH,2,FALSE)),0))</f>
        <v>0</v>
      </c>
      <c r="AY27" s="60">
        <f t="shared" si="9"/>
        <v>0</v>
      </c>
    </row>
    <row r="28" spans="1:51" x14ac:dyDescent="0.25">
      <c r="A28" s="71"/>
      <c r="B28" s="38"/>
      <c r="C28" s="38" t="s">
        <v>168</v>
      </c>
      <c r="D28" s="38" t="s">
        <v>169</v>
      </c>
      <c r="E28" s="99">
        <v>5.8957750591656843</v>
      </c>
      <c r="F28" s="99">
        <v>8.0346299999999999</v>
      </c>
      <c r="G28" s="38">
        <v>7</v>
      </c>
      <c r="H28" s="39">
        <f t="shared" si="10"/>
        <v>1.6508170165663916</v>
      </c>
      <c r="I28" s="39"/>
      <c r="J28" s="38">
        <f>SUMIF('KIRIM ANTAR UNIT'!B:B,'SETTING PRODUKSI SEPTEMBER AU'!C28,'KIRIM ANTAR UNIT'!E:E)</f>
        <v>0</v>
      </c>
      <c r="K28" s="38">
        <f>SUMIF('KIRIM ANTAR UNIT'!B:B,'SETTING PRODUKSI SEPTEMBER AU'!C28,'KIRIM ANTAR UNIT'!F:F)</f>
        <v>0</v>
      </c>
      <c r="L28" s="40">
        <f t="shared" si="11"/>
        <v>0</v>
      </c>
      <c r="M28" s="40">
        <f t="shared" si="12"/>
        <v>0</v>
      </c>
      <c r="N28" s="41">
        <v>1.2</v>
      </c>
      <c r="O28" s="77">
        <f t="shared" si="13"/>
        <v>0</v>
      </c>
      <c r="P28" s="42">
        <f t="shared" si="14"/>
        <v>2.1388549408343156</v>
      </c>
      <c r="Q28" s="77">
        <f t="shared" si="15"/>
        <v>9.0694392143964642</v>
      </c>
      <c r="R28" s="38"/>
      <c r="S28" s="38"/>
      <c r="U28" s="35">
        <v>1.8</v>
      </c>
      <c r="V28" s="18" t="s">
        <v>82</v>
      </c>
      <c r="W28" s="19"/>
      <c r="X28" s="19">
        <f t="shared" si="1"/>
        <v>0</v>
      </c>
      <c r="Y28" s="19"/>
      <c r="Z28" s="19"/>
      <c r="AA28" s="19">
        <f t="shared" si="2"/>
        <v>0</v>
      </c>
      <c r="AB28" s="38"/>
      <c r="AC28" s="60">
        <f>IF(AC$6="",IFERROR(VLOOKUP((AC$8&amp;"&amp;"&amp;$V28),'MASTER DATA'!$G:$M,7,FALSE)*AC$7*(VLOOKUP(AC$8,'MASTER DATA'!$AG:$AH,2,FALSE)),0),IFERROR(VLOOKUP((AC$8&amp;"&amp;"&amp;$V28),'MASTER DATA'!$G:$M,7,FALSE)*AC$6*(VLOOKUP(AC$8,'MASTER DATA'!$AG:$AH,2,FALSE)),0))</f>
        <v>0</v>
      </c>
      <c r="AD28" s="60">
        <f t="shared" si="0"/>
        <v>0</v>
      </c>
      <c r="AE28" s="38"/>
      <c r="AF28" s="60">
        <f>IF(AF$6="",IFERROR(VLOOKUP((AF$8&amp;"&amp;"&amp;$V28),'MASTER DATA'!$G:$M,7,FALSE)*AF$7*(VLOOKUP(AF$8,'MASTER DATA'!$AG:$AH,2,FALSE)),0),IFERROR(VLOOKUP((AF$8&amp;"&amp;"&amp;$V28),'MASTER DATA'!$G:$M,7,FALSE)*AF$6*(VLOOKUP(AF$8,'MASTER DATA'!$AG:$AH,2,FALSE)),0))</f>
        <v>0</v>
      </c>
      <c r="AG28" s="60">
        <f t="shared" si="3"/>
        <v>0</v>
      </c>
      <c r="AH28" s="38"/>
      <c r="AI28" s="60">
        <f>IF(AI$6="",IFERROR(VLOOKUP((AI$8&amp;"&amp;"&amp;$V28),'MASTER DATA'!$G:$M,7,FALSE)*AI$7*(VLOOKUP(AI$8,'MASTER DATA'!$AG:$AH,2,FALSE)),0),IFERROR(VLOOKUP((AI$8&amp;"&amp;"&amp;$V28),'MASTER DATA'!$G:$M,7,FALSE)*AI$6*(VLOOKUP(AI$8,'MASTER DATA'!$AG:$AH,2,FALSE)),0))</f>
        <v>0</v>
      </c>
      <c r="AJ28" s="60">
        <f t="shared" si="4"/>
        <v>0</v>
      </c>
      <c r="AK28" s="38"/>
      <c r="AL28" s="60">
        <f>IF(AL$6="",IFERROR(VLOOKUP((AL$8&amp;"&amp;"&amp;$V28),'MASTER DATA'!$G:$M,7,FALSE)*AL$7*(VLOOKUP(AL$8,'MASTER DATA'!$AG:$AH,2,FALSE)),0),IFERROR(VLOOKUP((AL$8&amp;"&amp;"&amp;$V28),'MASTER DATA'!$G:$M,7,FALSE)*AL$6*(VLOOKUP(AL$8,'MASTER DATA'!$AG:$AH,2,FALSE)),0))</f>
        <v>0</v>
      </c>
      <c r="AM28" s="60">
        <f t="shared" si="5"/>
        <v>0</v>
      </c>
      <c r="AN28" s="38"/>
      <c r="AO28" s="60">
        <f>IF(AO$6="",IFERROR(VLOOKUP((AO$8&amp;"&amp;"&amp;$V28),'MASTER DATA'!$G:$M,7,FALSE)*AO$7*(VLOOKUP(AO$8,'MASTER DATA'!$AG:$AH,2,FALSE)),0),IFERROR(VLOOKUP((AO$8&amp;"&amp;"&amp;$V28),'MASTER DATA'!$G:$M,7,FALSE)*AO$6*(VLOOKUP(AO$8,'MASTER DATA'!$AG:$AH,2,FALSE)),0))</f>
        <v>0</v>
      </c>
      <c r="AP28" s="60">
        <f t="shared" si="6"/>
        <v>0</v>
      </c>
      <c r="AQ28" s="38"/>
      <c r="AR28" s="60">
        <f>IF(AR$6="",IFERROR(VLOOKUP((AR$8&amp;"&amp;"&amp;$V28),'MASTER DATA'!$G:$M,7,FALSE)*AR$7*(VLOOKUP(AR$8,'MASTER DATA'!$AG:$AH,2,FALSE)),0),IFERROR(VLOOKUP((AR$8&amp;"&amp;"&amp;$V28),'MASTER DATA'!$G:$M,7,FALSE)*AR$6*(VLOOKUP(AR$8,'MASTER DATA'!$AG:$AH,2,FALSE)),0))</f>
        <v>0</v>
      </c>
      <c r="AS28" s="60">
        <f t="shared" si="7"/>
        <v>0</v>
      </c>
      <c r="AT28" s="38"/>
      <c r="AU28" s="60">
        <f>IF(AU$6="",IFERROR(VLOOKUP((AU$8&amp;"&amp;"&amp;$V28),'MASTER DATA'!$G:$M,7,FALSE)*AU$7*(VLOOKUP(AU$8,'MASTER DATA'!$AG:$AH,2,FALSE)),0),IFERROR(VLOOKUP((AU$8&amp;"&amp;"&amp;$V28),'MASTER DATA'!$G:$M,7,FALSE)*AU$6*(VLOOKUP(AU$8,'MASTER DATA'!$AG:$AH,2,FALSE)),0))</f>
        <v>0</v>
      </c>
      <c r="AV28" s="60">
        <f t="shared" si="8"/>
        <v>0</v>
      </c>
      <c r="AW28" s="60"/>
      <c r="AX28" s="60">
        <f>IF(AX$6="",IFERROR(VLOOKUP((AX$8&amp;"&amp;"&amp;$V28),'MASTER DATA'!$G:$M,7,FALSE)*AX$7*(VLOOKUP(AX$8,'MASTER DATA'!$AG:$AH,2,FALSE)),0),IFERROR(VLOOKUP((AX$8&amp;"&amp;"&amp;$V28),'MASTER DATA'!$G:$M,7,FALSE)*AX$6*(VLOOKUP(AX$8,'MASTER DATA'!$AG:$AH,2,FALSE)),0))</f>
        <v>0</v>
      </c>
      <c r="AY28" s="60">
        <f t="shared" si="9"/>
        <v>0</v>
      </c>
    </row>
    <row r="29" spans="1:51" x14ac:dyDescent="0.25">
      <c r="A29" s="71"/>
      <c r="B29" s="38"/>
      <c r="C29" s="38" t="s">
        <v>4</v>
      </c>
      <c r="D29" s="38" t="s">
        <v>5</v>
      </c>
      <c r="E29" s="99">
        <v>4.9141329506063816</v>
      </c>
      <c r="F29" s="99">
        <v>7.9394600000000004</v>
      </c>
      <c r="G29" s="38">
        <v>7</v>
      </c>
      <c r="H29" s="39">
        <f t="shared" si="10"/>
        <v>1.3759572261697868</v>
      </c>
      <c r="I29" s="39"/>
      <c r="J29" s="38">
        <f>SUMIF('KIRIM ANTAR UNIT'!B:B,'SETTING PRODUKSI SEPTEMBER AU'!C29,'KIRIM ANTAR UNIT'!E:E)</f>
        <v>0</v>
      </c>
      <c r="K29" s="38">
        <f>SUMIF('KIRIM ANTAR UNIT'!B:B,'SETTING PRODUKSI SEPTEMBER AU'!C29,'KIRIM ANTAR UNIT'!F:F)</f>
        <v>0</v>
      </c>
      <c r="L29" s="40">
        <f t="shared" si="11"/>
        <v>0</v>
      </c>
      <c r="M29" s="40">
        <f t="shared" si="12"/>
        <v>0</v>
      </c>
      <c r="N29" s="41">
        <f>VLOOKUP(C29,'MASTER DATA'!B:D,3,0)</f>
        <v>0.9</v>
      </c>
      <c r="O29" s="77">
        <f t="shared" si="13"/>
        <v>0</v>
      </c>
      <c r="P29" s="42">
        <f t="shared" si="14"/>
        <v>3.0253270493936189</v>
      </c>
      <c r="Q29" s="77">
        <f t="shared" si="15"/>
        <v>15.390950345677499</v>
      </c>
      <c r="R29" s="38"/>
      <c r="S29" s="38"/>
      <c r="U29" s="35">
        <v>1.9</v>
      </c>
      <c r="V29" s="24" t="s">
        <v>83</v>
      </c>
      <c r="W29" s="19"/>
      <c r="X29" s="19">
        <f t="shared" si="1"/>
        <v>0</v>
      </c>
      <c r="Y29" s="19"/>
      <c r="Z29" s="19"/>
      <c r="AA29" s="19">
        <f t="shared" si="2"/>
        <v>0</v>
      </c>
      <c r="AB29" s="38"/>
      <c r="AC29" s="60">
        <f>IF(AC$6="",IFERROR(VLOOKUP((AC$8&amp;"&amp;"&amp;$V29),'MASTER DATA'!$G:$M,7,FALSE)*AC$7*(VLOOKUP(AC$8,'MASTER DATA'!$AG:$AH,2,FALSE)),0),IFERROR(VLOOKUP((AC$8&amp;"&amp;"&amp;$V29),'MASTER DATA'!$G:$M,7,FALSE)*AC$6*(VLOOKUP(AC$8,'MASTER DATA'!$AG:$AH,2,FALSE)),0))</f>
        <v>0</v>
      </c>
      <c r="AD29" s="60">
        <f t="shared" si="0"/>
        <v>0</v>
      </c>
      <c r="AE29" s="38"/>
      <c r="AF29" s="60">
        <f>IF(AF$6="",IFERROR(VLOOKUP((AF$8&amp;"&amp;"&amp;$V29),'MASTER DATA'!$G:$M,7,FALSE)*AF$7*(VLOOKUP(AF$8,'MASTER DATA'!$AG:$AH,2,FALSE)),0),IFERROR(VLOOKUP((AF$8&amp;"&amp;"&amp;$V29),'MASTER DATA'!$G:$M,7,FALSE)*AF$6*(VLOOKUP(AF$8,'MASTER DATA'!$AG:$AH,2,FALSE)),0))</f>
        <v>0</v>
      </c>
      <c r="AG29" s="60">
        <f t="shared" si="3"/>
        <v>0</v>
      </c>
      <c r="AH29" s="38"/>
      <c r="AI29" s="60">
        <f>IF(AI$6="",IFERROR(VLOOKUP((AI$8&amp;"&amp;"&amp;$V29),'MASTER DATA'!$G:$M,7,FALSE)*AI$7*(VLOOKUP(AI$8,'MASTER DATA'!$AG:$AH,2,FALSE)),0),IFERROR(VLOOKUP((AI$8&amp;"&amp;"&amp;$V29),'MASTER DATA'!$G:$M,7,FALSE)*AI$6*(VLOOKUP(AI$8,'MASTER DATA'!$AG:$AH,2,FALSE)),0))</f>
        <v>0</v>
      </c>
      <c r="AJ29" s="60">
        <f t="shared" si="4"/>
        <v>0</v>
      </c>
      <c r="AK29" s="38"/>
      <c r="AL29" s="60">
        <f>IF(AL$6="",IFERROR(VLOOKUP((AL$8&amp;"&amp;"&amp;$V29),'MASTER DATA'!$G:$M,7,FALSE)*AL$7*(VLOOKUP(AL$8,'MASTER DATA'!$AG:$AH,2,FALSE)),0),IFERROR(VLOOKUP((AL$8&amp;"&amp;"&amp;$V29),'MASTER DATA'!$G:$M,7,FALSE)*AL$6*(VLOOKUP(AL$8,'MASTER DATA'!$AG:$AH,2,FALSE)),0))</f>
        <v>0</v>
      </c>
      <c r="AM29" s="60">
        <f t="shared" si="5"/>
        <v>0</v>
      </c>
      <c r="AN29" s="38"/>
      <c r="AO29" s="60">
        <f>IF(AO$6="",IFERROR(VLOOKUP((AO$8&amp;"&amp;"&amp;$V29),'MASTER DATA'!$G:$M,7,FALSE)*AO$7*(VLOOKUP(AO$8,'MASTER DATA'!$AG:$AH,2,FALSE)),0),IFERROR(VLOOKUP((AO$8&amp;"&amp;"&amp;$V29),'MASTER DATA'!$G:$M,7,FALSE)*AO$6*(VLOOKUP(AO$8,'MASTER DATA'!$AG:$AH,2,FALSE)),0))</f>
        <v>0</v>
      </c>
      <c r="AP29" s="60">
        <f t="shared" si="6"/>
        <v>0</v>
      </c>
      <c r="AQ29" s="38"/>
      <c r="AR29" s="60">
        <f>IF(AR$6="",IFERROR(VLOOKUP((AR$8&amp;"&amp;"&amp;$V29),'MASTER DATA'!$G:$M,7,FALSE)*AR$7*(VLOOKUP(AR$8,'MASTER DATA'!$AG:$AH,2,FALSE)),0),IFERROR(VLOOKUP((AR$8&amp;"&amp;"&amp;$V29),'MASTER DATA'!$G:$M,7,FALSE)*AR$6*(VLOOKUP(AR$8,'MASTER DATA'!$AG:$AH,2,FALSE)),0))</f>
        <v>0</v>
      </c>
      <c r="AS29" s="60">
        <f t="shared" si="7"/>
        <v>0</v>
      </c>
      <c r="AT29" s="38"/>
      <c r="AU29" s="60">
        <f>IF(AU$6="",IFERROR(VLOOKUP((AU$8&amp;"&amp;"&amp;$V29),'MASTER DATA'!$G:$M,7,FALSE)*AU$7*(VLOOKUP(AU$8,'MASTER DATA'!$AG:$AH,2,FALSE)),0),IFERROR(VLOOKUP((AU$8&amp;"&amp;"&amp;$V29),'MASTER DATA'!$G:$M,7,FALSE)*AU$6*(VLOOKUP(AU$8,'MASTER DATA'!$AG:$AH,2,FALSE)),0))</f>
        <v>0</v>
      </c>
      <c r="AV29" s="60">
        <f t="shared" si="8"/>
        <v>0</v>
      </c>
      <c r="AW29" s="60"/>
      <c r="AX29" s="60">
        <f>IF(AX$6="",IFERROR(VLOOKUP((AX$8&amp;"&amp;"&amp;$V29),'MASTER DATA'!$G:$M,7,FALSE)*AX$7*(VLOOKUP(AX$8,'MASTER DATA'!$AG:$AH,2,FALSE)),0),IFERROR(VLOOKUP((AX$8&amp;"&amp;"&amp;$V29),'MASTER DATA'!$G:$M,7,FALSE)*AX$6*(VLOOKUP(AX$8,'MASTER DATA'!$AG:$AH,2,FALSE)),0))</f>
        <v>0</v>
      </c>
      <c r="AY29" s="60">
        <f t="shared" si="9"/>
        <v>0</v>
      </c>
    </row>
    <row r="30" spans="1:51" x14ac:dyDescent="0.25">
      <c r="A30" s="71"/>
      <c r="B30" s="38"/>
      <c r="C30" s="38" t="s">
        <v>210</v>
      </c>
      <c r="D30" s="38" t="s">
        <v>211</v>
      </c>
      <c r="E30" s="99">
        <v>78.546000000000006</v>
      </c>
      <c r="F30" s="99">
        <v>21.86674</v>
      </c>
      <c r="G30" s="38">
        <v>7</v>
      </c>
      <c r="H30" s="39">
        <f t="shared" si="10"/>
        <v>21.99288</v>
      </c>
      <c r="I30" s="39"/>
      <c r="J30" s="38">
        <f>SUMIF('KIRIM ANTAR UNIT'!B:B,'SETTING PRODUKSI SEPTEMBER AU'!C30,'KIRIM ANTAR UNIT'!E:E)</f>
        <v>40</v>
      </c>
      <c r="K30" s="38">
        <f>SUMIF('KIRIM ANTAR UNIT'!B:B,'SETTING PRODUKSI SEPTEMBER AU'!C30,'KIRIM ANTAR UNIT'!F:F)</f>
        <v>0</v>
      </c>
      <c r="L30" s="40">
        <f t="shared" si="11"/>
        <v>38.672140000000013</v>
      </c>
      <c r="M30" s="40">
        <f t="shared" si="12"/>
        <v>1.5468856000000004</v>
      </c>
      <c r="N30" s="41">
        <f>VLOOKUP(C30,'MASTER DATA'!B:D,3,0)</f>
        <v>1</v>
      </c>
      <c r="O30" s="77">
        <f t="shared" si="13"/>
        <v>1546.8856000000005</v>
      </c>
      <c r="P30" s="42">
        <f t="shared" si="14"/>
        <v>21.99288</v>
      </c>
      <c r="Q30" s="77">
        <f t="shared" si="15"/>
        <v>6.9999999999999991</v>
      </c>
      <c r="R30" s="38"/>
      <c r="S30" s="38"/>
      <c r="U30" s="35">
        <v>2</v>
      </c>
      <c r="V30" s="24" t="s">
        <v>84</v>
      </c>
      <c r="W30" s="19"/>
      <c r="X30" s="19">
        <f t="shared" si="1"/>
        <v>0</v>
      </c>
      <c r="Y30" s="19"/>
      <c r="Z30" s="19"/>
      <c r="AA30" s="19">
        <f t="shared" si="2"/>
        <v>0</v>
      </c>
      <c r="AB30" s="38"/>
      <c r="AC30" s="60">
        <f>IF(AC$6="",IFERROR(VLOOKUP((AC$8&amp;"&amp;"&amp;$V30),'MASTER DATA'!$G:$M,7,FALSE)*AC$7*(VLOOKUP(AC$8,'MASTER DATA'!$AG:$AH,2,FALSE)),0),IFERROR(VLOOKUP((AC$8&amp;"&amp;"&amp;$V30),'MASTER DATA'!$G:$M,7,FALSE)*AC$6*(VLOOKUP(AC$8,'MASTER DATA'!$AG:$AH,2,FALSE)),0))</f>
        <v>0</v>
      </c>
      <c r="AD30" s="60">
        <f t="shared" si="0"/>
        <v>0</v>
      </c>
      <c r="AE30" s="38"/>
      <c r="AF30" s="60">
        <f>IF(AF$6="",IFERROR(VLOOKUP((AF$8&amp;"&amp;"&amp;$V30),'MASTER DATA'!$G:$M,7,FALSE)*AF$7*(VLOOKUP(AF$8,'MASTER DATA'!$AG:$AH,2,FALSE)),0),IFERROR(VLOOKUP((AF$8&amp;"&amp;"&amp;$V30),'MASTER DATA'!$G:$M,7,FALSE)*AF$6*(VLOOKUP(AF$8,'MASTER DATA'!$AG:$AH,2,FALSE)),0))</f>
        <v>0</v>
      </c>
      <c r="AG30" s="60">
        <f t="shared" si="3"/>
        <v>0</v>
      </c>
      <c r="AH30" s="38"/>
      <c r="AI30" s="60">
        <f>IF(AI$6="",IFERROR(VLOOKUP((AI$8&amp;"&amp;"&amp;$V30),'MASTER DATA'!$G:$M,7,FALSE)*AI$7*(VLOOKUP(AI$8,'MASTER DATA'!$AG:$AH,2,FALSE)),0),IFERROR(VLOOKUP((AI$8&amp;"&amp;"&amp;$V30),'MASTER DATA'!$G:$M,7,FALSE)*AI$6*(VLOOKUP(AI$8,'MASTER DATA'!$AG:$AH,2,FALSE)),0))</f>
        <v>0</v>
      </c>
      <c r="AJ30" s="60">
        <f t="shared" si="4"/>
        <v>0</v>
      </c>
      <c r="AK30" s="38"/>
      <c r="AL30" s="60">
        <f>IF(AL$6="",IFERROR(VLOOKUP((AL$8&amp;"&amp;"&amp;$V30),'MASTER DATA'!$G:$M,7,FALSE)*AL$7*(VLOOKUP(AL$8,'MASTER DATA'!$AG:$AH,2,FALSE)),0),IFERROR(VLOOKUP((AL$8&amp;"&amp;"&amp;$V30),'MASTER DATA'!$G:$M,7,FALSE)*AL$6*(VLOOKUP(AL$8,'MASTER DATA'!$AG:$AH,2,FALSE)),0))</f>
        <v>0</v>
      </c>
      <c r="AM30" s="60">
        <f t="shared" si="5"/>
        <v>0</v>
      </c>
      <c r="AN30" s="38"/>
      <c r="AO30" s="60">
        <f>IF(AO$6="",IFERROR(VLOOKUP((AO$8&amp;"&amp;"&amp;$V30),'MASTER DATA'!$G:$M,7,FALSE)*AO$7*(VLOOKUP(AO$8,'MASTER DATA'!$AG:$AH,2,FALSE)),0),IFERROR(VLOOKUP((AO$8&amp;"&amp;"&amp;$V30),'MASTER DATA'!$G:$M,7,FALSE)*AO$6*(VLOOKUP(AO$8,'MASTER DATA'!$AG:$AH,2,FALSE)),0))</f>
        <v>0</v>
      </c>
      <c r="AP30" s="60">
        <f t="shared" si="6"/>
        <v>0</v>
      </c>
      <c r="AQ30" s="38"/>
      <c r="AR30" s="60">
        <f>IF(AR$6="",IFERROR(VLOOKUP((AR$8&amp;"&amp;"&amp;$V30),'MASTER DATA'!$G:$M,7,FALSE)*AR$7*(VLOOKUP(AR$8,'MASTER DATA'!$AG:$AH,2,FALSE)),0),IFERROR(VLOOKUP((AR$8&amp;"&amp;"&amp;$V30),'MASTER DATA'!$G:$M,7,FALSE)*AR$6*(VLOOKUP(AR$8,'MASTER DATA'!$AG:$AH,2,FALSE)),0))</f>
        <v>0</v>
      </c>
      <c r="AS30" s="60">
        <f t="shared" si="7"/>
        <v>0</v>
      </c>
      <c r="AT30" s="38"/>
      <c r="AU30" s="60">
        <f>IF(AU$6="",IFERROR(VLOOKUP((AU$8&amp;"&amp;"&amp;$V30),'MASTER DATA'!$G:$M,7,FALSE)*AU$7*(VLOOKUP(AU$8,'MASTER DATA'!$AG:$AH,2,FALSE)),0),IFERROR(VLOOKUP((AU$8&amp;"&amp;"&amp;$V30),'MASTER DATA'!$G:$M,7,FALSE)*AU$6*(VLOOKUP(AU$8,'MASTER DATA'!$AG:$AH,2,FALSE)),0))</f>
        <v>0</v>
      </c>
      <c r="AV30" s="60">
        <f t="shared" si="8"/>
        <v>0</v>
      </c>
      <c r="AW30" s="60"/>
      <c r="AX30" s="60">
        <f>IF(AX$6="",IFERROR(VLOOKUP((AX$8&amp;"&amp;"&amp;$V30),'MASTER DATA'!$G:$M,7,FALSE)*AX$7*(VLOOKUP(AX$8,'MASTER DATA'!$AG:$AH,2,FALSE)),0),IFERROR(VLOOKUP((AX$8&amp;"&amp;"&amp;$V30),'MASTER DATA'!$G:$M,7,FALSE)*AX$6*(VLOOKUP(AX$8,'MASTER DATA'!$AG:$AH,2,FALSE)),0))</f>
        <v>0</v>
      </c>
      <c r="AY30" s="60">
        <f t="shared" si="9"/>
        <v>0</v>
      </c>
    </row>
    <row r="31" spans="1:51" x14ac:dyDescent="0.25">
      <c r="A31" s="71"/>
      <c r="B31" s="38"/>
      <c r="C31" s="38" t="s">
        <v>170</v>
      </c>
      <c r="D31" s="38" t="s">
        <v>171</v>
      </c>
      <c r="E31" s="99">
        <v>9.1908759999999994</v>
      </c>
      <c r="F31" s="99">
        <v>4.3431239999999995</v>
      </c>
      <c r="G31" s="38">
        <v>7</v>
      </c>
      <c r="H31" s="39">
        <f t="shared" si="10"/>
        <v>2.5734452799999996</v>
      </c>
      <c r="I31" s="39"/>
      <c r="J31" s="38">
        <f>SUMIF('KIRIM ANTAR UNIT'!B:B,'SETTING PRODUKSI SEPTEMBER AU'!C31,'KIRIM ANTAR UNIT'!E:E)</f>
        <v>0</v>
      </c>
      <c r="K31" s="38">
        <f>SUMIF('KIRIM ANTAR UNIT'!B:B,'SETTING PRODUKSI SEPTEMBER AU'!C31,'KIRIM ANTAR UNIT'!F:F)</f>
        <v>0</v>
      </c>
      <c r="L31" s="40">
        <f t="shared" ref="L31:L81" si="16">IF(((E31-F31)+(H31)-(J31)+(K31))&lt;0,0,((E31-F31)+(H31)-(J31)+(K31)-I31))</f>
        <v>7.4211972799999995</v>
      </c>
      <c r="M31" s="40">
        <f t="shared" si="12"/>
        <v>0.29684789119999999</v>
      </c>
      <c r="N31" s="41">
        <f>VLOOKUP(C31,'MASTER DATA'!B:D,3,0)</f>
        <v>1.2</v>
      </c>
      <c r="O31" s="77">
        <f t="shared" si="13"/>
        <v>247.37324266666667</v>
      </c>
      <c r="P31" s="42">
        <f t="shared" si="14"/>
        <v>2.5734452799999996</v>
      </c>
      <c r="Q31" s="77">
        <f t="shared" si="15"/>
        <v>6.9999999999999991</v>
      </c>
      <c r="R31" s="38"/>
      <c r="S31" s="38"/>
      <c r="W31" s="204">
        <f t="shared" ref="W31:Z31" si="17">SUM(W13:W30)</f>
        <v>0</v>
      </c>
      <c r="X31" s="204">
        <f t="shared" si="17"/>
        <v>7618.5947110824382</v>
      </c>
      <c r="Y31" s="204">
        <f t="shared" si="17"/>
        <v>0</v>
      </c>
      <c r="Z31" s="204">
        <f t="shared" si="17"/>
        <v>0</v>
      </c>
      <c r="AA31" s="202">
        <f>SUM(AA13:AA30)</f>
        <v>7618.5947110824382</v>
      </c>
      <c r="AB31" s="53"/>
      <c r="AC31" s="76">
        <f>SUM(AC13:AC30)</f>
        <v>0</v>
      </c>
      <c r="AD31" s="76">
        <f>SUM(AD13:AD30)</f>
        <v>-7618.5947110824382</v>
      </c>
      <c r="AE31" s="53"/>
      <c r="AF31" s="76">
        <f>SUM(AF13:AF30)</f>
        <v>0</v>
      </c>
      <c r="AG31" s="76">
        <f>SUM(AG13:AG30)</f>
        <v>-7618.5947110824382</v>
      </c>
      <c r="AH31" s="53"/>
      <c r="AI31" s="76">
        <f>SUM(AI13:AI30)</f>
        <v>0</v>
      </c>
      <c r="AJ31" s="76">
        <f>SUM(AJ13:AJ30)</f>
        <v>-7618.5947110824382</v>
      </c>
      <c r="AK31" s="53"/>
      <c r="AL31" s="76">
        <f>SUM(AL13:AL30)</f>
        <v>0</v>
      </c>
      <c r="AM31" s="76">
        <f>SUM(AM13:AM30)</f>
        <v>-7618.5947110824382</v>
      </c>
      <c r="AN31" s="53"/>
      <c r="AO31" s="76">
        <f>SUM(AO13:AO30)</f>
        <v>0</v>
      </c>
      <c r="AP31" s="76">
        <f>SUM(AP13:AP30)</f>
        <v>-7618.5947110824382</v>
      </c>
      <c r="AQ31" s="53"/>
      <c r="AR31" s="76">
        <f>SUM(AR13:AR30)</f>
        <v>0</v>
      </c>
      <c r="AS31" s="76">
        <f>SUM(AS13:AS30)</f>
        <v>-7618.5947110824382</v>
      </c>
      <c r="AT31" s="53"/>
      <c r="AU31" s="76">
        <f>SUM(AU13:AU30)</f>
        <v>0</v>
      </c>
      <c r="AV31" s="76">
        <f>SUM(AV13:AV30)</f>
        <v>-7618.5947110824382</v>
      </c>
      <c r="AW31" s="76"/>
      <c r="AX31" s="76">
        <f>SUM(AX13:AX30)</f>
        <v>0</v>
      </c>
      <c r="AY31" s="76">
        <f>SUM(AY13:AY30)</f>
        <v>-7618.5947110824382</v>
      </c>
    </row>
    <row r="32" spans="1:51" x14ac:dyDescent="0.25">
      <c r="A32" s="71"/>
      <c r="B32" s="38"/>
      <c r="C32" s="38" t="s">
        <v>172</v>
      </c>
      <c r="D32" s="38" t="s">
        <v>173</v>
      </c>
      <c r="E32" s="99">
        <v>20.464685875200001</v>
      </c>
      <c r="F32" s="99">
        <v>13.904299999999999</v>
      </c>
      <c r="G32" s="38">
        <v>7</v>
      </c>
      <c r="H32" s="39">
        <f t="shared" si="10"/>
        <v>5.7301120450559999</v>
      </c>
      <c r="I32" s="39"/>
      <c r="J32" s="38">
        <f>SUMIF('KIRIM ANTAR UNIT'!B:B,'SETTING PRODUKSI SEPTEMBER AU'!C32,'KIRIM ANTAR UNIT'!E:E)</f>
        <v>0</v>
      </c>
      <c r="K32" s="38">
        <f>SUMIF('KIRIM ANTAR UNIT'!B:B,'SETTING PRODUKSI SEPTEMBER AU'!C32,'KIRIM ANTAR UNIT'!F:F)</f>
        <v>0</v>
      </c>
      <c r="L32" s="40">
        <f t="shared" si="16"/>
        <v>12.290497920256001</v>
      </c>
      <c r="M32" s="40">
        <f t="shared" si="12"/>
        <v>0.49161991681024003</v>
      </c>
      <c r="N32" s="41">
        <f>VLOOKUP(C32,'MASTER DATA'!B:D,3,0)</f>
        <v>0.9</v>
      </c>
      <c r="O32" s="77">
        <f t="shared" si="13"/>
        <v>546.24435201137783</v>
      </c>
      <c r="P32" s="42">
        <f t="shared" si="14"/>
        <v>5.7301120450559999</v>
      </c>
      <c r="Q32" s="77">
        <f t="shared" si="15"/>
        <v>7</v>
      </c>
      <c r="R32" s="38"/>
      <c r="S32" s="38"/>
    </row>
    <row r="33" spans="1:29" x14ac:dyDescent="0.25">
      <c r="A33" s="71"/>
      <c r="B33" s="38"/>
      <c r="C33" s="38" t="s">
        <v>174</v>
      </c>
      <c r="D33" s="38" t="s">
        <v>175</v>
      </c>
      <c r="E33" s="99">
        <v>3.3452074331999997</v>
      </c>
      <c r="F33" s="99">
        <v>0.26197999999999999</v>
      </c>
      <c r="G33" s="38">
        <v>7</v>
      </c>
      <c r="H33" s="39">
        <f t="shared" si="10"/>
        <v>0.93665808129599992</v>
      </c>
      <c r="I33" s="39"/>
      <c r="J33" s="38">
        <f>SUMIF('KIRIM ANTAR UNIT'!B:B,'SETTING PRODUKSI SEPTEMBER AU'!C33,'KIRIM ANTAR UNIT'!E:E)</f>
        <v>0</v>
      </c>
      <c r="K33" s="38">
        <f>SUMIF('KIRIM ANTAR UNIT'!B:B,'SETTING PRODUKSI SEPTEMBER AU'!C33,'KIRIM ANTAR UNIT'!F:F)</f>
        <v>0</v>
      </c>
      <c r="L33" s="40">
        <f t="shared" si="16"/>
        <v>4.019885514496</v>
      </c>
      <c r="M33" s="40">
        <f t="shared" si="12"/>
        <v>0.16079542057984</v>
      </c>
      <c r="N33" s="41">
        <f>VLOOKUP(C33,'MASTER DATA'!B:D,3,0)</f>
        <v>1.2</v>
      </c>
      <c r="O33" s="77">
        <f t="shared" si="13"/>
        <v>133.99618381653335</v>
      </c>
      <c r="P33" s="42">
        <f t="shared" si="14"/>
        <v>0.93665808129600059</v>
      </c>
      <c r="Q33" s="77">
        <f t="shared" si="15"/>
        <v>7.0000000000000053</v>
      </c>
      <c r="R33" s="38"/>
      <c r="S33" s="38"/>
    </row>
    <row r="34" spans="1:29" x14ac:dyDescent="0.25">
      <c r="A34" s="71"/>
      <c r="B34" s="38"/>
      <c r="C34" s="38" t="s">
        <v>176</v>
      </c>
      <c r="D34" s="38" t="s">
        <v>177</v>
      </c>
      <c r="E34" s="99">
        <v>0.80527032320000003</v>
      </c>
      <c r="F34" s="99">
        <v>0.55396000000000001</v>
      </c>
      <c r="G34" s="38">
        <v>7</v>
      </c>
      <c r="H34" s="39">
        <f t="shared" si="10"/>
        <v>0.22547569049600003</v>
      </c>
      <c r="I34" s="39"/>
      <c r="J34" s="38">
        <f>SUMIF('KIRIM ANTAR UNIT'!B:B,'SETTING PRODUKSI SEPTEMBER AU'!C34,'KIRIM ANTAR UNIT'!E:E)</f>
        <v>0</v>
      </c>
      <c r="K34" s="38">
        <f>SUMIF('KIRIM ANTAR UNIT'!B:B,'SETTING PRODUKSI SEPTEMBER AU'!C34,'KIRIM ANTAR UNIT'!F:F)</f>
        <v>0</v>
      </c>
      <c r="L34" s="40">
        <f t="shared" si="16"/>
        <v>0.47678601369600004</v>
      </c>
      <c r="M34" s="40">
        <f t="shared" si="12"/>
        <v>1.9071440547840001E-2</v>
      </c>
      <c r="N34" s="41">
        <f>VLOOKUP(C34,'MASTER DATA'!B:D,3,0)</f>
        <v>1.2</v>
      </c>
      <c r="O34" s="77">
        <f t="shared" si="13"/>
        <v>15.892867123200002</v>
      </c>
      <c r="P34" s="42">
        <f t="shared" si="14"/>
        <v>0.22547569049600003</v>
      </c>
      <c r="Q34" s="77">
        <f t="shared" si="15"/>
        <v>7</v>
      </c>
      <c r="R34" s="38"/>
      <c r="S34" s="38"/>
    </row>
    <row r="35" spans="1:29" x14ac:dyDescent="0.25">
      <c r="A35" s="71"/>
      <c r="B35" s="38"/>
      <c r="C35" s="38" t="s">
        <v>22</v>
      </c>
      <c r="D35" s="38" t="s">
        <v>23</v>
      </c>
      <c r="E35" s="99">
        <v>0.73045793520000002</v>
      </c>
      <c r="F35" s="99">
        <v>0</v>
      </c>
      <c r="G35" s="38">
        <v>7</v>
      </c>
      <c r="H35" s="39">
        <f t="shared" si="10"/>
        <v>0.204528221856</v>
      </c>
      <c r="I35" s="39"/>
      <c r="J35" s="38">
        <f>SUMIF('KIRIM ANTAR UNIT'!B:B,'SETTING PRODUKSI SEPTEMBER AU'!C35,'KIRIM ANTAR UNIT'!E:E)</f>
        <v>0</v>
      </c>
      <c r="K35" s="38">
        <f>SUMIF('KIRIM ANTAR UNIT'!B:B,'SETTING PRODUKSI SEPTEMBER AU'!C35,'KIRIM ANTAR UNIT'!F:F)</f>
        <v>0</v>
      </c>
      <c r="L35" s="40">
        <f t="shared" si="16"/>
        <v>0.93498615705600008</v>
      </c>
      <c r="M35" s="40">
        <f t="shared" si="12"/>
        <v>3.7399446282240005E-2</v>
      </c>
      <c r="N35" s="41">
        <f>VLOOKUP(C35,'MASTER DATA'!B:D,3,0)</f>
        <v>1.1000000000000001</v>
      </c>
      <c r="O35" s="77">
        <f t="shared" si="13"/>
        <v>33.999496620218189</v>
      </c>
      <c r="P35" s="42">
        <f t="shared" si="14"/>
        <v>0.20452822185600006</v>
      </c>
      <c r="Q35" s="77">
        <f t="shared" si="15"/>
        <v>7.0000000000000018</v>
      </c>
      <c r="R35" s="38"/>
      <c r="S35" s="38"/>
      <c r="V35" s="51" t="s">
        <v>128</v>
      </c>
      <c r="W35" s="236" t="s">
        <v>124</v>
      </c>
      <c r="X35" s="237"/>
      <c r="Y35" s="197" t="s">
        <v>126</v>
      </c>
      <c r="Z35" s="197" t="s">
        <v>127</v>
      </c>
      <c r="AA35" s="197" t="s">
        <v>123</v>
      </c>
      <c r="AB35" s="111" t="s">
        <v>330</v>
      </c>
    </row>
    <row r="36" spans="1:29" x14ac:dyDescent="0.25">
      <c r="A36" s="71"/>
      <c r="B36" s="38"/>
      <c r="C36" s="38" t="s">
        <v>178</v>
      </c>
      <c r="D36" s="38" t="s">
        <v>179</v>
      </c>
      <c r="E36" s="99">
        <v>0.46944092160000001</v>
      </c>
      <c r="F36" s="99">
        <v>0.10443999999999999</v>
      </c>
      <c r="G36" s="38">
        <v>7</v>
      </c>
      <c r="H36" s="39">
        <f t="shared" si="10"/>
        <v>0.13144345804800001</v>
      </c>
      <c r="I36" s="39"/>
      <c r="J36" s="38">
        <f>SUMIF('KIRIM ANTAR UNIT'!B:B,'SETTING PRODUKSI SEPTEMBER AU'!C36,'KIRIM ANTAR UNIT'!E:E)</f>
        <v>0</v>
      </c>
      <c r="K36" s="38">
        <f>SUMIF('KIRIM ANTAR UNIT'!B:B,'SETTING PRODUKSI SEPTEMBER AU'!C36,'KIRIM ANTAR UNIT'!F:F)</f>
        <v>0</v>
      </c>
      <c r="L36" s="40">
        <f t="shared" si="16"/>
        <v>0.49644437964800003</v>
      </c>
      <c r="M36" s="40">
        <f t="shared" si="12"/>
        <v>1.9857775185920003E-2</v>
      </c>
      <c r="N36" s="41">
        <f>VLOOKUP(C36,'MASTER DATA'!B:D,3,0)</f>
        <v>1</v>
      </c>
      <c r="O36" s="77">
        <f t="shared" si="13"/>
        <v>19.857775185920001</v>
      </c>
      <c r="P36" s="42">
        <f t="shared" si="14"/>
        <v>0.13144345804800001</v>
      </c>
      <c r="Q36" s="77">
        <f t="shared" si="15"/>
        <v>7</v>
      </c>
      <c r="R36" s="38"/>
      <c r="S36" s="38"/>
      <c r="V36" s="53" t="s">
        <v>106</v>
      </c>
      <c r="W36" s="51" t="s">
        <v>106</v>
      </c>
      <c r="X36" s="69">
        <v>0.248</v>
      </c>
      <c r="Y36" s="74">
        <f>$O$140*X36*$N$135</f>
        <v>961.96835292040851</v>
      </c>
      <c r="Z36" s="99">
        <f t="shared" ref="Z36:Z45" si="18">SUMIF($B$109:$B$139,W36,$M$109:$M$139)*1000</f>
        <v>961.96835292040862</v>
      </c>
      <c r="AA36" s="99">
        <f t="shared" ref="AA36:AA44" si="19">Y36-Z36</f>
        <v>0</v>
      </c>
      <c r="AB36" s="38"/>
    </row>
    <row r="37" spans="1:29" x14ac:dyDescent="0.25">
      <c r="A37" s="71"/>
      <c r="B37" s="38"/>
      <c r="C37" s="38" t="s">
        <v>12</v>
      </c>
      <c r="D37" s="38" t="s">
        <v>13</v>
      </c>
      <c r="E37" s="99">
        <v>29.480732400000001</v>
      </c>
      <c r="F37" s="99">
        <v>5.2593199999999998</v>
      </c>
      <c r="G37" s="38">
        <v>7</v>
      </c>
      <c r="H37" s="39">
        <f t="shared" si="10"/>
        <v>8.2546050720000004</v>
      </c>
      <c r="I37" s="39"/>
      <c r="J37" s="38">
        <f>SUMIF('KIRIM ANTAR UNIT'!B:B,'SETTING PRODUKSI SEPTEMBER AU'!C37,'KIRIM ANTAR UNIT'!E:E)</f>
        <v>0</v>
      </c>
      <c r="K37" s="38">
        <f>SUMIF('KIRIM ANTAR UNIT'!B:B,'SETTING PRODUKSI SEPTEMBER AU'!C37,'KIRIM ANTAR UNIT'!F:F)</f>
        <v>0</v>
      </c>
      <c r="L37" s="40">
        <f t="shared" si="16"/>
        <v>32.476017472000002</v>
      </c>
      <c r="M37" s="40">
        <f t="shared" si="12"/>
        <v>1.2990406988800001</v>
      </c>
      <c r="N37" s="41">
        <f>VLOOKUP(C37,'MASTER DATA'!B:D,3,0)</f>
        <v>1.1000000000000001</v>
      </c>
      <c r="O37" s="77">
        <f t="shared" si="13"/>
        <v>1180.946089890909</v>
      </c>
      <c r="P37" s="42">
        <f t="shared" si="14"/>
        <v>8.2546050720000039</v>
      </c>
      <c r="Q37" s="77">
        <f t="shared" si="15"/>
        <v>7.0000000000000036</v>
      </c>
      <c r="R37" s="38"/>
      <c r="S37" s="38"/>
      <c r="V37" s="38"/>
      <c r="W37" s="51" t="s">
        <v>125</v>
      </c>
      <c r="X37" s="69">
        <v>0.218</v>
      </c>
      <c r="Y37" s="74">
        <f t="shared" ref="Y37:Y44" si="20">$O$140*X37*$N$135</f>
        <v>845.60121345422999</v>
      </c>
      <c r="Z37" s="99">
        <f t="shared" si="18"/>
        <v>579.50295050718671</v>
      </c>
      <c r="AA37" s="99">
        <f t="shared" si="19"/>
        <v>266.09826294704328</v>
      </c>
      <c r="AB37" s="38"/>
    </row>
    <row r="38" spans="1:29" x14ac:dyDescent="0.25">
      <c r="A38" s="71"/>
      <c r="B38" s="38"/>
      <c r="C38" s="38" t="s">
        <v>180</v>
      </c>
      <c r="D38" s="38" t="s">
        <v>181</v>
      </c>
      <c r="E38" s="99">
        <v>0.12677611519999998</v>
      </c>
      <c r="F38" s="99">
        <v>0</v>
      </c>
      <c r="G38" s="38">
        <v>0</v>
      </c>
      <c r="H38" s="39">
        <f t="shared" si="10"/>
        <v>0</v>
      </c>
      <c r="I38" s="39"/>
      <c r="J38" s="38">
        <f>SUMIF('KIRIM ANTAR UNIT'!B:B,'SETTING PRODUKSI SEPTEMBER AU'!C38,'KIRIM ANTAR UNIT'!E:E)</f>
        <v>0</v>
      </c>
      <c r="K38" s="38">
        <f>SUMIF('KIRIM ANTAR UNIT'!B:B,'SETTING PRODUKSI SEPTEMBER AU'!C38,'KIRIM ANTAR UNIT'!F:F)</f>
        <v>0</v>
      </c>
      <c r="L38" s="40">
        <f t="shared" si="16"/>
        <v>0.12677611519999998</v>
      </c>
      <c r="M38" s="40">
        <f t="shared" si="12"/>
        <v>5.0710446079999996E-3</v>
      </c>
      <c r="N38" s="41">
        <f>VLOOKUP(C38,'MASTER DATA'!B:D,3,0)</f>
        <v>1.1000000000000001</v>
      </c>
      <c r="O38" s="77">
        <f t="shared" si="13"/>
        <v>4.6100405527272716</v>
      </c>
      <c r="P38" s="42">
        <f t="shared" si="14"/>
        <v>0</v>
      </c>
      <c r="Q38" s="77">
        <f t="shared" si="15"/>
        <v>0</v>
      </c>
      <c r="R38" s="38"/>
      <c r="S38" s="38"/>
      <c r="V38" s="38"/>
      <c r="W38" s="51" t="s">
        <v>329</v>
      </c>
      <c r="X38" s="69">
        <v>1.4E-2</v>
      </c>
      <c r="Y38" s="74">
        <f t="shared" si="20"/>
        <v>54.304665084216609</v>
      </c>
      <c r="Z38" s="99">
        <f t="shared" si="18"/>
        <v>3.5918047948799994</v>
      </c>
      <c r="AA38" s="99">
        <f t="shared" si="19"/>
        <v>50.712860289336611</v>
      </c>
      <c r="AB38" s="38"/>
    </row>
    <row r="39" spans="1:29" x14ac:dyDescent="0.25">
      <c r="A39" s="71"/>
      <c r="B39" s="38"/>
      <c r="C39" s="38" t="s">
        <v>182</v>
      </c>
      <c r="D39" s="38" t="s">
        <v>183</v>
      </c>
      <c r="E39" s="99">
        <v>3.3101479936000002</v>
      </c>
      <c r="F39" s="99">
        <v>1.860001</v>
      </c>
      <c r="G39" s="38">
        <v>7</v>
      </c>
      <c r="H39" s="39">
        <f t="shared" si="10"/>
        <v>0.92684143820800013</v>
      </c>
      <c r="I39" s="39"/>
      <c r="J39" s="38">
        <f>SUMIF('KIRIM ANTAR UNIT'!B:B,'SETTING PRODUKSI SEPTEMBER AU'!C39,'KIRIM ANTAR UNIT'!E:E)</f>
        <v>0</v>
      </c>
      <c r="K39" s="38">
        <f>SUMIF('KIRIM ANTAR UNIT'!B:B,'SETTING PRODUKSI SEPTEMBER AU'!C39,'KIRIM ANTAR UNIT'!F:F)</f>
        <v>0</v>
      </c>
      <c r="L39" s="40">
        <f t="shared" si="16"/>
        <v>2.3769884318080003</v>
      </c>
      <c r="M39" s="40">
        <f t="shared" si="12"/>
        <v>9.5079537272320019E-2</v>
      </c>
      <c r="N39" s="41">
        <f>VLOOKUP(C39,'MASTER DATA'!B:D,3,0)</f>
        <v>0.9</v>
      </c>
      <c r="O39" s="77">
        <f t="shared" si="13"/>
        <v>105.6439303025778</v>
      </c>
      <c r="P39" s="42">
        <f t="shared" si="14"/>
        <v>0.92684143820800013</v>
      </c>
      <c r="Q39" s="77">
        <f t="shared" si="15"/>
        <v>7</v>
      </c>
      <c r="R39" s="38"/>
      <c r="S39" s="38"/>
      <c r="V39" s="38"/>
      <c r="W39" s="51" t="s">
        <v>325</v>
      </c>
      <c r="X39" s="69">
        <v>0.20599999999999999</v>
      </c>
      <c r="Y39" s="74">
        <f t="shared" si="20"/>
        <v>799.05435766775872</v>
      </c>
      <c r="Z39" s="99">
        <f t="shared" si="18"/>
        <v>0</v>
      </c>
      <c r="AA39" s="99">
        <f t="shared" si="19"/>
        <v>799.05435766775872</v>
      </c>
      <c r="AB39" s="38"/>
    </row>
    <row r="40" spans="1:29" x14ac:dyDescent="0.25">
      <c r="A40" s="71"/>
      <c r="B40" s="38"/>
      <c r="C40" s="38" t="s">
        <v>184</v>
      </c>
      <c r="D40" s="38" t="s">
        <v>185</v>
      </c>
      <c r="E40" s="99">
        <v>2.327478272</v>
      </c>
      <c r="F40" s="99">
        <v>5.2399999999999999E-3</v>
      </c>
      <c r="G40" s="38">
        <v>7</v>
      </c>
      <c r="H40" s="39">
        <f t="shared" si="10"/>
        <v>0.65169391616000005</v>
      </c>
      <c r="I40" s="39"/>
      <c r="J40" s="38">
        <f>SUMIF('KIRIM ANTAR UNIT'!B:B,'SETTING PRODUKSI SEPTEMBER AU'!C40,'KIRIM ANTAR UNIT'!E:E)</f>
        <v>0</v>
      </c>
      <c r="K40" s="38">
        <f>SUMIF('KIRIM ANTAR UNIT'!B:B,'SETTING PRODUKSI SEPTEMBER AU'!C40,'KIRIM ANTAR UNIT'!F:F)</f>
        <v>0</v>
      </c>
      <c r="L40" s="40">
        <f t="shared" si="16"/>
        <v>2.97393218816</v>
      </c>
      <c r="M40" s="40">
        <f t="shared" si="12"/>
        <v>0.1189572875264</v>
      </c>
      <c r="N40" s="41">
        <f>VLOOKUP(C40,'MASTER DATA'!B:D,3,0)</f>
        <v>1.3</v>
      </c>
      <c r="O40" s="77">
        <f t="shared" si="13"/>
        <v>91.50560578953845</v>
      </c>
      <c r="P40" s="42">
        <f t="shared" si="14"/>
        <v>0.65169391616000016</v>
      </c>
      <c r="Q40" s="77">
        <f t="shared" si="15"/>
        <v>7.0000000000000018</v>
      </c>
      <c r="R40" s="38"/>
      <c r="S40" s="38"/>
      <c r="V40" s="38"/>
      <c r="W40" s="51" t="s">
        <v>129</v>
      </c>
      <c r="X40" s="69">
        <v>0.1</v>
      </c>
      <c r="Y40" s="74">
        <f t="shared" si="20"/>
        <v>387.89046488726149</v>
      </c>
      <c r="Z40" s="99">
        <f t="shared" si="18"/>
        <v>173.05219710370861</v>
      </c>
      <c r="AA40" s="99">
        <f t="shared" si="19"/>
        <v>214.83826778355288</v>
      </c>
      <c r="AB40" s="38"/>
    </row>
    <row r="41" spans="1:29" x14ac:dyDescent="0.25">
      <c r="A41" s="71"/>
      <c r="B41" s="38"/>
      <c r="C41" s="38" t="s">
        <v>212</v>
      </c>
      <c r="D41" s="38" t="s">
        <v>213</v>
      </c>
      <c r="E41" s="99">
        <v>0.48657530879999994</v>
      </c>
      <c r="F41" s="99">
        <v>0.15425999999999998</v>
      </c>
      <c r="G41" s="38">
        <v>7</v>
      </c>
      <c r="H41" s="39">
        <f t="shared" si="10"/>
        <v>0.13624108646399999</v>
      </c>
      <c r="I41" s="39"/>
      <c r="J41" s="38">
        <f>SUMIF('KIRIM ANTAR UNIT'!B:B,'SETTING PRODUKSI SEPTEMBER AU'!C41,'KIRIM ANTAR UNIT'!E:E)</f>
        <v>0</v>
      </c>
      <c r="K41" s="38">
        <f>SUMIF('KIRIM ANTAR UNIT'!B:B,'SETTING PRODUKSI SEPTEMBER AU'!C41,'KIRIM ANTAR UNIT'!F:F)</f>
        <v>0</v>
      </c>
      <c r="L41" s="40">
        <f t="shared" si="16"/>
        <v>0.46855639526399995</v>
      </c>
      <c r="M41" s="40">
        <f t="shared" si="12"/>
        <v>1.8742255810559997E-2</v>
      </c>
      <c r="N41" s="41">
        <f>VLOOKUP(C41,'MASTER DATA'!B:D,3,0)</f>
        <v>1.2</v>
      </c>
      <c r="O41" s="77">
        <f t="shared" si="13"/>
        <v>15.618546508799998</v>
      </c>
      <c r="P41" s="42">
        <f t="shared" si="14"/>
        <v>0.13624108646399996</v>
      </c>
      <c r="Q41" s="77">
        <f t="shared" si="15"/>
        <v>6.9999999999999991</v>
      </c>
      <c r="R41" s="38"/>
      <c r="S41" s="38"/>
      <c r="V41" s="38"/>
      <c r="W41" s="51" t="s">
        <v>318</v>
      </c>
      <c r="X41" s="69">
        <v>0.108</v>
      </c>
      <c r="Y41" s="74">
        <f t="shared" si="20"/>
        <v>418.92170207824239</v>
      </c>
      <c r="Z41" s="99">
        <f t="shared" si="18"/>
        <v>61.753279620019711</v>
      </c>
      <c r="AA41" s="99">
        <f t="shared" si="19"/>
        <v>357.16842245822266</v>
      </c>
      <c r="AB41" s="38"/>
    </row>
    <row r="42" spans="1:29" x14ac:dyDescent="0.25">
      <c r="A42" s="71"/>
      <c r="B42" s="38"/>
      <c r="C42" s="38" t="s">
        <v>186</v>
      </c>
      <c r="D42" s="38" t="s">
        <v>187</v>
      </c>
      <c r="E42" s="99">
        <v>8.2240471039999985</v>
      </c>
      <c r="F42" s="99">
        <v>0</v>
      </c>
      <c r="G42" s="38">
        <v>7</v>
      </c>
      <c r="H42" s="39">
        <f t="shared" si="10"/>
        <v>2.3027331891199996</v>
      </c>
      <c r="I42" s="39"/>
      <c r="J42" s="38">
        <f>SUMIF('KIRIM ANTAR UNIT'!B:B,'SETTING PRODUKSI SEPTEMBER AU'!C42,'KIRIM ANTAR UNIT'!E:E)</f>
        <v>0</v>
      </c>
      <c r="K42" s="38">
        <f>SUMIF('KIRIM ANTAR UNIT'!B:B,'SETTING PRODUKSI SEPTEMBER AU'!C42,'KIRIM ANTAR UNIT'!F:F)</f>
        <v>0</v>
      </c>
      <c r="L42" s="40">
        <f t="shared" si="16"/>
        <v>10.526780293119998</v>
      </c>
      <c r="M42" s="40">
        <f t="shared" si="12"/>
        <v>0.42107121172479994</v>
      </c>
      <c r="N42" s="41">
        <f>VLOOKUP(C42,'MASTER DATA'!B:D,3,0)</f>
        <v>1.1000000000000001</v>
      </c>
      <c r="O42" s="77">
        <f t="shared" si="13"/>
        <v>382.79201065890896</v>
      </c>
      <c r="P42" s="42">
        <f t="shared" si="14"/>
        <v>2.3027331891199996</v>
      </c>
      <c r="Q42" s="77">
        <f t="shared" si="15"/>
        <v>7</v>
      </c>
      <c r="R42" s="38"/>
      <c r="S42" s="38"/>
      <c r="V42" s="38"/>
      <c r="W42" s="51" t="s">
        <v>333</v>
      </c>
      <c r="X42" s="69">
        <v>6.8000000000000005E-2</v>
      </c>
      <c r="Y42" s="74">
        <f t="shared" si="20"/>
        <v>263.76551612333782</v>
      </c>
      <c r="Z42" s="99">
        <f t="shared" si="18"/>
        <v>0</v>
      </c>
      <c r="AA42" s="99">
        <f t="shared" si="19"/>
        <v>263.76551612333782</v>
      </c>
      <c r="AB42" s="38"/>
    </row>
    <row r="43" spans="1:29" x14ac:dyDescent="0.25">
      <c r="A43" s="71"/>
      <c r="B43" s="38"/>
      <c r="C43" s="38" t="s">
        <v>14</v>
      </c>
      <c r="D43" s="38" t="s">
        <v>15</v>
      </c>
      <c r="E43" s="99">
        <v>64.670552799999996</v>
      </c>
      <c r="F43" s="99">
        <v>7.1310579999999995</v>
      </c>
      <c r="G43" s="38">
        <v>7</v>
      </c>
      <c r="H43" s="39">
        <f t="shared" si="10"/>
        <v>18.107754783999997</v>
      </c>
      <c r="I43" s="39"/>
      <c r="J43" s="38">
        <f>SUMIF('KIRIM ANTAR UNIT'!B:B,'SETTING PRODUKSI SEPTEMBER AU'!C43,'KIRIM ANTAR UNIT'!E:E)</f>
        <v>0</v>
      </c>
      <c r="K43" s="38">
        <f>SUMIF('KIRIM ANTAR UNIT'!B:B,'SETTING PRODUKSI SEPTEMBER AU'!C43,'KIRIM ANTAR UNIT'!F:F)</f>
        <v>0</v>
      </c>
      <c r="L43" s="40">
        <f t="shared" si="16"/>
        <v>75.647249583999994</v>
      </c>
      <c r="M43" s="40">
        <f t="shared" si="12"/>
        <v>3.0258899833599999</v>
      </c>
      <c r="N43" s="41">
        <f>VLOOKUP(C43,'MASTER DATA'!B:D,3,0)</f>
        <v>1</v>
      </c>
      <c r="O43" s="77">
        <f t="shared" si="13"/>
        <v>3025.8899833599999</v>
      </c>
      <c r="P43" s="42">
        <f t="shared" si="14"/>
        <v>18.107754783999994</v>
      </c>
      <c r="Q43" s="77">
        <f t="shared" si="15"/>
        <v>6.9999999999999982</v>
      </c>
      <c r="R43" s="38"/>
      <c r="S43" s="38"/>
      <c r="V43" s="38"/>
      <c r="W43" s="51" t="s">
        <v>345</v>
      </c>
      <c r="X43" s="69">
        <v>0</v>
      </c>
      <c r="Y43" s="74">
        <f t="shared" si="20"/>
        <v>0</v>
      </c>
      <c r="Z43" s="99">
        <f t="shared" si="18"/>
        <v>0</v>
      </c>
      <c r="AA43" s="99">
        <f t="shared" si="19"/>
        <v>0</v>
      </c>
      <c r="AB43" s="38"/>
    </row>
    <row r="44" spans="1:29" x14ac:dyDescent="0.25">
      <c r="A44" s="71"/>
      <c r="B44" s="38"/>
      <c r="C44" s="38" t="s">
        <v>188</v>
      </c>
      <c r="D44" s="38" t="s">
        <v>189</v>
      </c>
      <c r="E44" s="99">
        <v>1.2766609408</v>
      </c>
      <c r="F44" s="99">
        <v>1.9120000000000002E-2</v>
      </c>
      <c r="G44" s="38">
        <v>7</v>
      </c>
      <c r="H44" s="39">
        <f t="shared" si="10"/>
        <v>0.35746506342399997</v>
      </c>
      <c r="I44" s="39"/>
      <c r="J44" s="38">
        <f>SUMIF('KIRIM ANTAR UNIT'!B:B,'SETTING PRODUKSI SEPTEMBER AU'!C44,'KIRIM ANTAR UNIT'!E:E)</f>
        <v>0</v>
      </c>
      <c r="K44" s="38">
        <f>SUMIF('KIRIM ANTAR UNIT'!B:B,'SETTING PRODUKSI SEPTEMBER AU'!C44,'KIRIM ANTAR UNIT'!F:F)</f>
        <v>0</v>
      </c>
      <c r="L44" s="40">
        <f t="shared" si="16"/>
        <v>1.615006004224</v>
      </c>
      <c r="M44" s="40">
        <f t="shared" si="12"/>
        <v>6.4600240168960002E-2</v>
      </c>
      <c r="N44" s="41">
        <f>VLOOKUP(C44,'MASTER DATA'!B:D,3,0)</f>
        <v>1</v>
      </c>
      <c r="O44" s="77">
        <f t="shared" si="13"/>
        <v>64.600240168959999</v>
      </c>
      <c r="P44" s="42">
        <f t="shared" si="14"/>
        <v>0.35746506342399997</v>
      </c>
      <c r="Q44" s="77">
        <f t="shared" si="15"/>
        <v>6.9999999999999991</v>
      </c>
      <c r="R44" s="38"/>
      <c r="S44" s="38"/>
      <c r="V44" s="38"/>
      <c r="W44" s="51" t="s">
        <v>290</v>
      </c>
      <c r="X44" s="69">
        <v>3.7999999999999999E-2</v>
      </c>
      <c r="Y44" s="74">
        <f t="shared" si="20"/>
        <v>147.39837665715936</v>
      </c>
      <c r="Z44" s="99">
        <f t="shared" si="18"/>
        <v>43.710408960000009</v>
      </c>
      <c r="AA44" s="99">
        <f t="shared" si="19"/>
        <v>103.68796769715935</v>
      </c>
      <c r="AB44" s="38"/>
    </row>
    <row r="45" spans="1:29" x14ac:dyDescent="0.25">
      <c r="A45" s="71"/>
      <c r="B45" s="38"/>
      <c r="C45" s="38" t="s">
        <v>190</v>
      </c>
      <c r="D45" s="38" t="s">
        <v>191</v>
      </c>
      <c r="E45" s="99">
        <v>6.0274737152000002</v>
      </c>
      <c r="F45" s="99">
        <v>4.9148099999999992</v>
      </c>
      <c r="G45" s="38">
        <v>7</v>
      </c>
      <c r="H45" s="39">
        <f t="shared" si="10"/>
        <v>1.6876926402560002</v>
      </c>
      <c r="I45" s="39"/>
      <c r="J45" s="38">
        <f>SUMIF('KIRIM ANTAR UNIT'!B:B,'SETTING PRODUKSI SEPTEMBER AU'!C45,'KIRIM ANTAR UNIT'!E:E)</f>
        <v>0</v>
      </c>
      <c r="K45" s="38">
        <f>SUMIF('KIRIM ANTAR UNIT'!B:B,'SETTING PRODUKSI SEPTEMBER AU'!C45,'KIRIM ANTAR UNIT'!F:F)</f>
        <v>0</v>
      </c>
      <c r="L45" s="40">
        <f t="shared" si="16"/>
        <v>2.8003563554560014</v>
      </c>
      <c r="M45" s="40">
        <f t="shared" si="12"/>
        <v>0.11201425421824006</v>
      </c>
      <c r="N45" s="41">
        <f>VLOOKUP(C45,'MASTER DATA'!B:D,3,0)</f>
        <v>1.2</v>
      </c>
      <c r="O45" s="77">
        <f t="shared" si="13"/>
        <v>93.345211848533381</v>
      </c>
      <c r="P45" s="42">
        <f t="shared" si="14"/>
        <v>1.6876926402560004</v>
      </c>
      <c r="Q45" s="77">
        <f t="shared" si="15"/>
        <v>7.0000000000000009</v>
      </c>
      <c r="R45" s="38"/>
      <c r="S45" s="38"/>
      <c r="V45" s="38"/>
      <c r="W45" s="38"/>
      <c r="X45" s="69">
        <f>SUM(X36:X44)</f>
        <v>1</v>
      </c>
      <c r="Y45" s="38"/>
      <c r="Z45" s="99">
        <f t="shared" si="18"/>
        <v>0</v>
      </c>
      <c r="AA45" s="99"/>
      <c r="AB45" s="38"/>
    </row>
    <row r="46" spans="1:29" x14ac:dyDescent="0.25">
      <c r="A46" s="71"/>
      <c r="B46" s="38"/>
      <c r="C46" s="38" t="s">
        <v>6</v>
      </c>
      <c r="D46" s="38" t="s">
        <v>7</v>
      </c>
      <c r="E46" s="99">
        <v>75.054510899200011</v>
      </c>
      <c r="F46" s="99">
        <v>26.578156000000003</v>
      </c>
      <c r="G46" s="38">
        <v>7</v>
      </c>
      <c r="H46" s="39">
        <f t="shared" si="10"/>
        <v>21.015263051776003</v>
      </c>
      <c r="I46" s="39"/>
      <c r="J46" s="38">
        <f>SUMIF('KIRIM ANTAR UNIT'!B:B,'SETTING PRODUKSI SEPTEMBER AU'!C46,'KIRIM ANTAR UNIT'!E:E)</f>
        <v>0</v>
      </c>
      <c r="K46" s="38">
        <f>SUMIF('KIRIM ANTAR UNIT'!B:B,'SETTING PRODUKSI SEPTEMBER AU'!C46,'KIRIM ANTAR UNIT'!F:F)</f>
        <v>0</v>
      </c>
      <c r="L46" s="40">
        <f t="shared" si="16"/>
        <v>69.491617950976007</v>
      </c>
      <c r="M46" s="40">
        <f t="shared" si="12"/>
        <v>2.7796647180390401</v>
      </c>
      <c r="N46" s="41">
        <f>VLOOKUP(C46,'MASTER DATA'!B:D,3,0)</f>
        <v>1.1000000000000001</v>
      </c>
      <c r="O46" s="77">
        <f t="shared" si="13"/>
        <v>2526.9679254900361</v>
      </c>
      <c r="P46" s="42">
        <f t="shared" si="14"/>
        <v>21.015263051776003</v>
      </c>
      <c r="Q46" s="77">
        <f t="shared" si="15"/>
        <v>7</v>
      </c>
      <c r="R46" s="38"/>
      <c r="S46" s="38"/>
      <c r="Y46" s="71">
        <f>SUM(Y36:Y45)</f>
        <v>3878.9046488726144</v>
      </c>
      <c r="AC46" s="71">
        <f>Y46*E9</f>
        <v>96972.616221815362</v>
      </c>
    </row>
    <row r="47" spans="1:29" x14ac:dyDescent="0.25">
      <c r="A47" s="71"/>
      <c r="B47" s="38"/>
      <c r="C47" s="38" t="s">
        <v>192</v>
      </c>
      <c r="D47" s="38" t="s">
        <v>193</v>
      </c>
      <c r="E47" s="99">
        <v>1.0709794815999998</v>
      </c>
      <c r="F47" s="99">
        <v>1.4599999999999999E-3</v>
      </c>
      <c r="G47" s="38">
        <v>7</v>
      </c>
      <c r="H47" s="39">
        <f t="shared" si="10"/>
        <v>0.29987425484799995</v>
      </c>
      <c r="I47" s="39"/>
      <c r="J47" s="38">
        <f>SUMIF('KIRIM ANTAR UNIT'!B:B,'SETTING PRODUKSI SEPTEMBER AU'!C47,'KIRIM ANTAR UNIT'!E:E)</f>
        <v>0</v>
      </c>
      <c r="K47" s="38">
        <f>SUMIF('KIRIM ANTAR UNIT'!B:B,'SETTING PRODUKSI SEPTEMBER AU'!C47,'KIRIM ANTAR UNIT'!F:F)</f>
        <v>0</v>
      </c>
      <c r="L47" s="40">
        <f t="shared" si="16"/>
        <v>1.3693937364479998</v>
      </c>
      <c r="M47" s="40">
        <f t="shared" si="12"/>
        <v>5.4775749457919992E-2</v>
      </c>
      <c r="N47" s="41">
        <f>VLOOKUP(C47,'MASTER DATA'!B:D,3,0)</f>
        <v>1.1000000000000001</v>
      </c>
      <c r="O47" s="77">
        <f t="shared" si="13"/>
        <v>49.796135870836352</v>
      </c>
      <c r="P47" s="42">
        <f t="shared" si="14"/>
        <v>0.29987425484800001</v>
      </c>
      <c r="Q47" s="77">
        <f t="shared" si="15"/>
        <v>7.0000000000000009</v>
      </c>
      <c r="R47" s="38"/>
      <c r="S47" s="38"/>
      <c r="V47" s="51" t="s">
        <v>128</v>
      </c>
      <c r="W47" s="236" t="s">
        <v>124</v>
      </c>
      <c r="X47" s="237"/>
      <c r="Y47" s="197" t="s">
        <v>126</v>
      </c>
      <c r="Z47" s="197" t="s">
        <v>127</v>
      </c>
      <c r="AA47" s="197" t="s">
        <v>123</v>
      </c>
      <c r="AB47" s="111" t="s">
        <v>330</v>
      </c>
    </row>
    <row r="48" spans="1:29" x14ac:dyDescent="0.25">
      <c r="A48" s="71"/>
      <c r="B48" s="38"/>
      <c r="C48" s="38" t="s">
        <v>8</v>
      </c>
      <c r="D48" s="38" t="s">
        <v>9</v>
      </c>
      <c r="E48" s="99">
        <v>0.45657292799999999</v>
      </c>
      <c r="F48" s="99">
        <v>0</v>
      </c>
      <c r="G48" s="38">
        <v>7</v>
      </c>
      <c r="H48" s="39">
        <f t="shared" si="10"/>
        <v>0.12784041984</v>
      </c>
      <c r="I48" s="39"/>
      <c r="J48" s="38">
        <f>SUMIF('KIRIM ANTAR UNIT'!B:B,'SETTING PRODUKSI SEPTEMBER AU'!C48,'KIRIM ANTAR UNIT'!E:E)</f>
        <v>0</v>
      </c>
      <c r="K48" s="38">
        <f>SUMIF('KIRIM ANTAR UNIT'!B:B,'SETTING PRODUKSI SEPTEMBER AU'!C48,'KIRIM ANTAR UNIT'!F:F)</f>
        <v>0</v>
      </c>
      <c r="L48" s="40">
        <f t="shared" si="16"/>
        <v>0.58441334783999999</v>
      </c>
      <c r="M48" s="40">
        <f t="shared" si="12"/>
        <v>2.3376533913599999E-2</v>
      </c>
      <c r="N48" s="41">
        <f>VLOOKUP(C48,'MASTER DATA'!B:D,3,0)</f>
        <v>1</v>
      </c>
      <c r="O48" s="77">
        <f t="shared" si="13"/>
        <v>23.376533913599999</v>
      </c>
      <c r="P48" s="42">
        <f t="shared" si="14"/>
        <v>0.12784041984</v>
      </c>
      <c r="Q48" s="77">
        <f t="shared" si="15"/>
        <v>7</v>
      </c>
      <c r="R48" s="38"/>
      <c r="S48" s="38"/>
      <c r="V48" s="53" t="s">
        <v>131</v>
      </c>
      <c r="W48" s="51" t="s">
        <v>131</v>
      </c>
      <c r="X48" s="69">
        <v>0.248</v>
      </c>
      <c r="Y48" s="99">
        <f>$O$155*X48*$N$155</f>
        <v>0</v>
      </c>
      <c r="Z48" s="99">
        <f>SUMIF($B$142:$B$165,W48,$M$142:$M$165)*1000</f>
        <v>125.62816000000002</v>
      </c>
      <c r="AA48" s="99">
        <f>Y48-Z48</f>
        <v>-125.62816000000002</v>
      </c>
      <c r="AB48" s="38"/>
    </row>
    <row r="49" spans="1:29" x14ac:dyDescent="0.25">
      <c r="A49" s="71"/>
      <c r="B49" s="38"/>
      <c r="C49" s="38" t="s">
        <v>20</v>
      </c>
      <c r="D49" s="38" t="s">
        <v>21</v>
      </c>
      <c r="E49" s="99">
        <v>1.4670430207999998</v>
      </c>
      <c r="F49" s="99">
        <v>0.50022</v>
      </c>
      <c r="G49" s="38">
        <v>7</v>
      </c>
      <c r="H49" s="39">
        <f t="shared" si="10"/>
        <v>0.41077204582399995</v>
      </c>
      <c r="I49" s="39"/>
      <c r="J49" s="38">
        <f>SUMIF('KIRIM ANTAR UNIT'!B:B,'SETTING PRODUKSI SEPTEMBER AU'!C49,'KIRIM ANTAR UNIT'!E:E)</f>
        <v>0</v>
      </c>
      <c r="K49" s="38">
        <f>SUMIF('KIRIM ANTAR UNIT'!B:B,'SETTING PRODUKSI SEPTEMBER AU'!C49,'KIRIM ANTAR UNIT'!F:F)</f>
        <v>0</v>
      </c>
      <c r="L49" s="40">
        <f t="shared" si="16"/>
        <v>1.3775950666239998</v>
      </c>
      <c r="M49" s="40">
        <f t="shared" si="12"/>
        <v>5.510380266495999E-2</v>
      </c>
      <c r="N49" s="41">
        <f>VLOOKUP(C49,'MASTER DATA'!B:D,3,0)</f>
        <v>0.9</v>
      </c>
      <c r="O49" s="77">
        <f t="shared" si="13"/>
        <v>61.226447405511102</v>
      </c>
      <c r="P49" s="42">
        <f t="shared" si="14"/>
        <v>0.41077204582399984</v>
      </c>
      <c r="Q49" s="77">
        <f t="shared" si="15"/>
        <v>6.9999999999999982</v>
      </c>
      <c r="R49" s="38"/>
      <c r="S49" s="38"/>
      <c r="V49" s="38"/>
      <c r="W49" s="51" t="s">
        <v>133</v>
      </c>
      <c r="X49" s="69">
        <v>0.3</v>
      </c>
      <c r="Y49" s="99">
        <f>$O$155*X49*$N$155</f>
        <v>0</v>
      </c>
      <c r="Z49" s="99">
        <f>SUMIF($B$142:$B$165,W49,$M$142:$M$165)*1000</f>
        <v>0</v>
      </c>
      <c r="AA49" s="99">
        <f t="shared" ref="AA49:AA51" si="21">Y49-Z49</f>
        <v>0</v>
      </c>
      <c r="AB49" s="38"/>
    </row>
    <row r="50" spans="1:29" x14ac:dyDescent="0.25">
      <c r="A50" s="71"/>
      <c r="B50" s="38"/>
      <c r="C50" s="38" t="s">
        <v>194</v>
      </c>
      <c r="D50" s="38" t="s">
        <v>195</v>
      </c>
      <c r="E50" s="99">
        <v>2.8776663999999998</v>
      </c>
      <c r="F50" s="99">
        <v>0.95428000000000013</v>
      </c>
      <c r="G50" s="38">
        <v>7</v>
      </c>
      <c r="H50" s="39">
        <f t="shared" si="10"/>
        <v>0.80574659199999987</v>
      </c>
      <c r="I50" s="39"/>
      <c r="J50" s="38">
        <f>SUMIF('KIRIM ANTAR UNIT'!B:B,'SETTING PRODUKSI SEPTEMBER AU'!C50,'KIRIM ANTAR UNIT'!E:E)</f>
        <v>0</v>
      </c>
      <c r="K50" s="38">
        <f>SUMIF('KIRIM ANTAR UNIT'!B:B,'SETTING PRODUKSI SEPTEMBER AU'!C50,'KIRIM ANTAR UNIT'!F:F)</f>
        <v>0</v>
      </c>
      <c r="L50" s="40">
        <f t="shared" si="16"/>
        <v>2.7291329919999994</v>
      </c>
      <c r="M50" s="40">
        <f t="shared" si="12"/>
        <v>0.10916531967999997</v>
      </c>
      <c r="N50" s="41">
        <f>VLOOKUP(C50,'MASTER DATA'!B:D,3,0)</f>
        <v>1.2</v>
      </c>
      <c r="O50" s="77">
        <f t="shared" si="13"/>
        <v>90.971099733333304</v>
      </c>
      <c r="P50" s="42">
        <f t="shared" si="14"/>
        <v>0.80574659199999976</v>
      </c>
      <c r="Q50" s="77">
        <f t="shared" si="15"/>
        <v>6.9999999999999991</v>
      </c>
      <c r="R50" s="38"/>
      <c r="S50" s="38"/>
      <c r="V50" s="38"/>
      <c r="W50" s="51" t="s">
        <v>343</v>
      </c>
      <c r="X50" s="69">
        <v>0.05</v>
      </c>
      <c r="Y50" s="99">
        <f>$O$155*X50*$N$155</f>
        <v>0</v>
      </c>
      <c r="Z50" s="99">
        <f>SUMIF($B$142:$B$165,W50,$M$142:$M$165)*1000</f>
        <v>23.141020938240075</v>
      </c>
      <c r="AA50" s="99">
        <f t="shared" si="21"/>
        <v>-23.141020938240075</v>
      </c>
      <c r="AB50" s="38"/>
    </row>
    <row r="51" spans="1:29" x14ac:dyDescent="0.25">
      <c r="A51" s="71"/>
      <c r="B51" s="38"/>
      <c r="C51" s="38" t="s">
        <v>18</v>
      </c>
      <c r="D51" s="38" t="s">
        <v>19</v>
      </c>
      <c r="E51" s="99">
        <v>9.9700000000000006</v>
      </c>
      <c r="F51" s="99">
        <v>6.7085100000000004</v>
      </c>
      <c r="G51" s="38">
        <v>7</v>
      </c>
      <c r="H51" s="39">
        <f t="shared" si="10"/>
        <v>2.7916000000000003</v>
      </c>
      <c r="I51" s="39"/>
      <c r="J51" s="38">
        <f>SUMIF('KIRIM ANTAR UNIT'!B:B,'SETTING PRODUKSI SEPTEMBER AU'!C51,'KIRIM ANTAR UNIT'!E:E)</f>
        <v>0</v>
      </c>
      <c r="K51" s="38">
        <f>SUMIF('KIRIM ANTAR UNIT'!B:B,'SETTING PRODUKSI SEPTEMBER AU'!C51,'KIRIM ANTAR UNIT'!F:F)</f>
        <v>0</v>
      </c>
      <c r="L51" s="40">
        <f t="shared" si="16"/>
        <v>6.053090000000001</v>
      </c>
      <c r="M51" s="40">
        <f t="shared" si="12"/>
        <v>0.24212360000000005</v>
      </c>
      <c r="N51" s="41">
        <v>1.2</v>
      </c>
      <c r="O51" s="77">
        <f t="shared" si="13"/>
        <v>201.76966666666669</v>
      </c>
      <c r="P51" s="42">
        <f t="shared" si="14"/>
        <v>2.7916000000000007</v>
      </c>
      <c r="Q51" s="77">
        <f t="shared" si="15"/>
        <v>7.0000000000000009</v>
      </c>
      <c r="R51" s="38"/>
      <c r="S51" s="38"/>
      <c r="V51" s="38"/>
      <c r="W51" s="51" t="s">
        <v>132</v>
      </c>
      <c r="X51" s="69">
        <v>0.40199999999999991</v>
      </c>
      <c r="Y51" s="99">
        <f>$O$155*X51*$N$155</f>
        <v>0</v>
      </c>
      <c r="Z51" s="99">
        <f>SUMIF($B$142:$B$165,W51,$M$142:$M$165)*1000</f>
        <v>0</v>
      </c>
      <c r="AA51" s="99">
        <f t="shared" si="21"/>
        <v>0</v>
      </c>
      <c r="AB51" s="38"/>
    </row>
    <row r="52" spans="1:29" x14ac:dyDescent="0.25">
      <c r="A52" s="71"/>
      <c r="B52" s="38"/>
      <c r="C52" s="38" t="s">
        <v>196</v>
      </c>
      <c r="D52" s="38" t="s">
        <v>197</v>
      </c>
      <c r="E52" s="99">
        <v>18.0109064</v>
      </c>
      <c r="F52" s="99">
        <v>15.692679999999998</v>
      </c>
      <c r="G52" s="38">
        <v>7</v>
      </c>
      <c r="H52" s="39">
        <f t="shared" si="10"/>
        <v>5.0430537919999994</v>
      </c>
      <c r="I52" s="39"/>
      <c r="J52" s="38">
        <f>SUMIF('KIRIM ANTAR UNIT'!B:B,'SETTING PRODUKSI SEPTEMBER AU'!C52,'KIRIM ANTAR UNIT'!E:E)</f>
        <v>0</v>
      </c>
      <c r="K52" s="38">
        <f>SUMIF('KIRIM ANTAR UNIT'!B:B,'SETTING PRODUKSI SEPTEMBER AU'!C52,'KIRIM ANTAR UNIT'!F:F)</f>
        <v>0</v>
      </c>
      <c r="L52" s="40">
        <f t="shared" si="16"/>
        <v>7.3612801920000015</v>
      </c>
      <c r="M52" s="40">
        <f t="shared" si="12"/>
        <v>0.29445120768000005</v>
      </c>
      <c r="N52" s="41">
        <f>VLOOKUP(C52,'MASTER DATA'!B:D,3,0)</f>
        <v>1.2</v>
      </c>
      <c r="O52" s="77">
        <f t="shared" si="13"/>
        <v>245.37600640000005</v>
      </c>
      <c r="P52" s="42">
        <f t="shared" si="14"/>
        <v>5.0430537919999985</v>
      </c>
      <c r="Q52" s="77">
        <f t="shared" si="15"/>
        <v>6.9999999999999982</v>
      </c>
      <c r="R52" s="38"/>
      <c r="S52" s="38"/>
      <c r="V52" s="38"/>
      <c r="W52" s="51"/>
      <c r="X52" s="70"/>
      <c r="Y52" s="38"/>
      <c r="Z52" s="38"/>
      <c r="AA52" s="38"/>
      <c r="AB52" s="38"/>
    </row>
    <row r="53" spans="1:29" x14ac:dyDescent="0.25">
      <c r="A53" s="71"/>
      <c r="B53" s="38"/>
      <c r="C53" s="38" t="s">
        <v>198</v>
      </c>
      <c r="D53" s="38" t="s">
        <v>199</v>
      </c>
      <c r="E53" s="99">
        <v>2.3385341951999998</v>
      </c>
      <c r="F53" s="99">
        <v>2.4655399999999998</v>
      </c>
      <c r="G53" s="38">
        <v>7</v>
      </c>
      <c r="H53" s="39">
        <f t="shared" si="10"/>
        <v>0.65478957465599996</v>
      </c>
      <c r="I53" s="39"/>
      <c r="J53" s="38">
        <f>SUMIF('KIRIM ANTAR UNIT'!B:B,'SETTING PRODUKSI SEPTEMBER AU'!C53,'KIRIM ANTAR UNIT'!E:E)</f>
        <v>0</v>
      </c>
      <c r="K53" s="38">
        <f>SUMIF('KIRIM ANTAR UNIT'!B:B,'SETTING PRODUKSI SEPTEMBER AU'!C53,'KIRIM ANTAR UNIT'!F:F)</f>
        <v>0</v>
      </c>
      <c r="L53" s="40">
        <f t="shared" si="16"/>
        <v>0.52778376985599995</v>
      </c>
      <c r="M53" s="40">
        <f t="shared" si="12"/>
        <v>2.1111350794239998E-2</v>
      </c>
      <c r="N53" s="41">
        <f>VLOOKUP(C53,'MASTER DATA'!B:D,3,0)</f>
        <v>0.9</v>
      </c>
      <c r="O53" s="77">
        <f t="shared" si="13"/>
        <v>23.45705643804444</v>
      </c>
      <c r="P53" s="42">
        <f t="shared" si="14"/>
        <v>0.65478957465599974</v>
      </c>
      <c r="Q53" s="77">
        <f t="shared" si="15"/>
        <v>6.9999999999999982</v>
      </c>
      <c r="R53" s="38"/>
      <c r="S53" s="38"/>
      <c r="V53" s="38"/>
      <c r="W53" s="51"/>
      <c r="X53" s="70"/>
      <c r="Y53" s="38"/>
      <c r="Z53" s="38"/>
      <c r="AA53" s="38"/>
      <c r="AB53" s="38"/>
    </row>
    <row r="54" spans="1:29" x14ac:dyDescent="0.25">
      <c r="A54" s="71"/>
      <c r="B54" s="38"/>
      <c r="C54" s="38" t="s">
        <v>26</v>
      </c>
      <c r="D54" s="38" t="s">
        <v>27</v>
      </c>
      <c r="E54" s="99">
        <v>5.4170888000000001</v>
      </c>
      <c r="F54" s="99">
        <v>2.1047400000000001</v>
      </c>
      <c r="G54" s="38">
        <v>7</v>
      </c>
      <c r="H54" s="39">
        <f t="shared" si="10"/>
        <v>1.5167848639999999</v>
      </c>
      <c r="I54" s="39"/>
      <c r="J54" s="38">
        <f>SUMIF('KIRIM ANTAR UNIT'!B:B,'SETTING PRODUKSI SEPTEMBER AU'!C54,'KIRIM ANTAR UNIT'!E:E)</f>
        <v>0</v>
      </c>
      <c r="K54" s="38">
        <f>SUMIF('KIRIM ANTAR UNIT'!B:B,'SETTING PRODUKSI SEPTEMBER AU'!C54,'KIRIM ANTAR UNIT'!F:F)</f>
        <v>0</v>
      </c>
      <c r="L54" s="40">
        <f t="shared" si="16"/>
        <v>4.8291336640000004</v>
      </c>
      <c r="M54" s="40">
        <f t="shared" si="12"/>
        <v>0.19316534656000001</v>
      </c>
      <c r="N54" s="41">
        <f>VLOOKUP(C54,'MASTER DATA'!B:D,3,0)</f>
        <v>0.8</v>
      </c>
      <c r="O54" s="77">
        <f t="shared" si="13"/>
        <v>241.45668320000001</v>
      </c>
      <c r="P54" s="42">
        <f t="shared" si="14"/>
        <v>1.5167848639999999</v>
      </c>
      <c r="Q54" s="77">
        <f t="shared" si="15"/>
        <v>6.9999999999999991</v>
      </c>
      <c r="R54" s="38"/>
      <c r="S54" s="38"/>
      <c r="V54" s="38"/>
      <c r="W54" s="51"/>
      <c r="X54" s="70"/>
      <c r="Y54" s="38"/>
      <c r="Z54" s="38"/>
      <c r="AA54" s="38"/>
      <c r="AB54" s="38"/>
    </row>
    <row r="55" spans="1:29" x14ac:dyDescent="0.25">
      <c r="A55" s="71"/>
      <c r="B55" s="38"/>
      <c r="C55" s="38" t="s">
        <v>10</v>
      </c>
      <c r="D55" s="38" t="s">
        <v>11</v>
      </c>
      <c r="E55" s="99">
        <v>4.4793087999999992</v>
      </c>
      <c r="F55" s="99">
        <v>1.71048</v>
      </c>
      <c r="G55" s="38">
        <v>7</v>
      </c>
      <c r="H55" s="39">
        <f t="shared" si="10"/>
        <v>1.2542064639999999</v>
      </c>
      <c r="I55" s="39"/>
      <c r="J55" s="38">
        <f>SUMIF('KIRIM ANTAR UNIT'!B:B,'SETTING PRODUKSI SEPTEMBER AU'!C55,'KIRIM ANTAR UNIT'!E:E)</f>
        <v>0</v>
      </c>
      <c r="K55" s="38">
        <f>SUMIF('KIRIM ANTAR UNIT'!B:B,'SETTING PRODUKSI SEPTEMBER AU'!C55,'KIRIM ANTAR UNIT'!F:F)</f>
        <v>0</v>
      </c>
      <c r="L55" s="40">
        <f t="shared" si="16"/>
        <v>4.0230352639999989</v>
      </c>
      <c r="M55" s="40">
        <f t="shared" si="12"/>
        <v>0.16092141055999995</v>
      </c>
      <c r="N55" s="41">
        <f>VLOOKUP(C55,'MASTER DATA'!B:D,3,0)</f>
        <v>1.1000000000000001</v>
      </c>
      <c r="O55" s="77">
        <f t="shared" si="13"/>
        <v>146.29219141818174</v>
      </c>
      <c r="P55" s="42">
        <f t="shared" si="14"/>
        <v>1.2542064640000001</v>
      </c>
      <c r="Q55" s="77">
        <f t="shared" si="15"/>
        <v>7.0000000000000018</v>
      </c>
      <c r="R55" s="38"/>
      <c r="S55" s="38"/>
      <c r="V55" s="38"/>
      <c r="W55" s="51"/>
      <c r="X55" s="70"/>
      <c r="Y55" s="38"/>
      <c r="Z55" s="38"/>
      <c r="AA55" s="38"/>
      <c r="AB55" s="38"/>
    </row>
    <row r="56" spans="1:29" x14ac:dyDescent="0.25">
      <c r="A56" s="71"/>
      <c r="B56" s="38"/>
      <c r="C56" s="38" t="s">
        <v>28</v>
      </c>
      <c r="D56" s="38" t="s">
        <v>29</v>
      </c>
      <c r="E56" s="99">
        <v>1.6854736000000001</v>
      </c>
      <c r="F56" s="99">
        <v>1.1507499999999999</v>
      </c>
      <c r="G56" s="38">
        <v>7</v>
      </c>
      <c r="H56" s="39">
        <f t="shared" si="10"/>
        <v>0.47193260800000003</v>
      </c>
      <c r="I56" s="39"/>
      <c r="J56" s="38">
        <f>SUMIF('KIRIM ANTAR UNIT'!B:B,'SETTING PRODUKSI SEPTEMBER AU'!C56,'KIRIM ANTAR UNIT'!E:E)</f>
        <v>0</v>
      </c>
      <c r="K56" s="38">
        <f>SUMIF('KIRIM ANTAR UNIT'!B:B,'SETTING PRODUKSI SEPTEMBER AU'!C56,'KIRIM ANTAR UNIT'!F:F)</f>
        <v>0</v>
      </c>
      <c r="L56" s="40">
        <f t="shared" si="16"/>
        <v>1.0066562080000003</v>
      </c>
      <c r="M56" s="40">
        <f t="shared" si="12"/>
        <v>4.026624832000001E-2</v>
      </c>
      <c r="N56" s="41">
        <f>VLOOKUP(C56,'MASTER DATA'!B:D,3,0)</f>
        <v>0.9</v>
      </c>
      <c r="O56" s="77">
        <f t="shared" si="13"/>
        <v>44.740275911111119</v>
      </c>
      <c r="P56" s="42">
        <f t="shared" si="14"/>
        <v>0.47193260800000014</v>
      </c>
      <c r="Q56" s="77">
        <f t="shared" si="15"/>
        <v>7.0000000000000009</v>
      </c>
      <c r="R56" s="38"/>
      <c r="S56" s="38"/>
      <c r="V56" s="38"/>
      <c r="W56" s="51"/>
      <c r="X56" s="69"/>
      <c r="Y56" s="38"/>
      <c r="Z56" s="38"/>
      <c r="AA56" s="38"/>
      <c r="AB56" s="38"/>
    </row>
    <row r="57" spans="1:29" x14ac:dyDescent="0.25">
      <c r="A57" s="71"/>
      <c r="B57" s="38"/>
      <c r="C57" s="38" t="s">
        <v>214</v>
      </c>
      <c r="D57" s="38" t="s">
        <v>215</v>
      </c>
      <c r="E57" s="99">
        <v>1.8749194240000002</v>
      </c>
      <c r="F57" s="99">
        <v>3.1310199999999995</v>
      </c>
      <c r="G57" s="38">
        <v>7</v>
      </c>
      <c r="H57" s="39">
        <f t="shared" si="10"/>
        <v>0.52497743872000013</v>
      </c>
      <c r="I57" s="39"/>
      <c r="J57" s="38">
        <f>SUMIF('KIRIM ANTAR UNIT'!B:B,'SETTING PRODUKSI SEPTEMBER AU'!C57,'KIRIM ANTAR UNIT'!E:E)</f>
        <v>0</v>
      </c>
      <c r="K57" s="38">
        <f>SUMIF('KIRIM ANTAR UNIT'!B:B,'SETTING PRODUKSI SEPTEMBER AU'!C57,'KIRIM ANTAR UNIT'!F:F)</f>
        <v>0</v>
      </c>
      <c r="L57" s="40">
        <f t="shared" si="16"/>
        <v>0</v>
      </c>
      <c r="M57" s="40">
        <f t="shared" si="12"/>
        <v>0</v>
      </c>
      <c r="N57" s="41">
        <f>VLOOKUP(C57,'MASTER DATA'!B:D,3,0)</f>
        <v>1.1000000000000001</v>
      </c>
      <c r="O57" s="77">
        <f t="shared" si="13"/>
        <v>0</v>
      </c>
      <c r="P57" s="42">
        <f t="shared" si="14"/>
        <v>1.2561005759999992</v>
      </c>
      <c r="Q57" s="77">
        <f t="shared" si="15"/>
        <v>16.748727437579728</v>
      </c>
      <c r="R57" s="38"/>
      <c r="S57" s="38"/>
      <c r="V57" s="38"/>
      <c r="W57" s="38"/>
      <c r="X57" s="69">
        <f>SUM(X48:X56)</f>
        <v>1</v>
      </c>
      <c r="Y57" s="38"/>
      <c r="Z57" s="38"/>
      <c r="AA57" s="38"/>
      <c r="AB57" s="38"/>
    </row>
    <row r="58" spans="1:29" x14ac:dyDescent="0.25">
      <c r="A58" s="71"/>
      <c r="B58" s="38"/>
      <c r="C58" s="38" t="s">
        <v>216</v>
      </c>
      <c r="D58" s="38" t="s">
        <v>217</v>
      </c>
      <c r="E58" s="99">
        <v>0.1757708288</v>
      </c>
      <c r="F58" s="99">
        <v>8.6580000000000004E-2</v>
      </c>
      <c r="G58" s="38">
        <v>7</v>
      </c>
      <c r="H58" s="39">
        <f t="shared" si="10"/>
        <v>4.9215832064000001E-2</v>
      </c>
      <c r="I58" s="39"/>
      <c r="J58" s="38">
        <f>SUMIF('KIRIM ANTAR UNIT'!B:B,'SETTING PRODUKSI SEPTEMBER AU'!C58,'KIRIM ANTAR UNIT'!E:E)</f>
        <v>0</v>
      </c>
      <c r="K58" s="38">
        <f>SUMIF('KIRIM ANTAR UNIT'!B:B,'SETTING PRODUKSI SEPTEMBER AU'!C58,'KIRIM ANTAR UNIT'!F:F)</f>
        <v>0</v>
      </c>
      <c r="L58" s="40">
        <f t="shared" si="16"/>
        <v>0.138406660864</v>
      </c>
      <c r="M58" s="40">
        <f t="shared" si="12"/>
        <v>5.5362664345599997E-3</v>
      </c>
      <c r="N58" s="41">
        <f>VLOOKUP(C58,'MASTER DATA'!B:D,3,0)</f>
        <v>0.9</v>
      </c>
      <c r="O58" s="77">
        <f t="shared" si="13"/>
        <v>6.1514071495111109</v>
      </c>
      <c r="P58" s="42">
        <f t="shared" si="14"/>
        <v>4.9215832063999987E-2</v>
      </c>
      <c r="Q58" s="77">
        <f t="shared" si="15"/>
        <v>6.9999999999999982</v>
      </c>
      <c r="R58" s="38"/>
      <c r="S58" s="38"/>
      <c r="Y58" s="71">
        <f>SUM(Y48:Y57)</f>
        <v>0</v>
      </c>
      <c r="AA58" s="71">
        <f>Y58*3</f>
        <v>0</v>
      </c>
      <c r="AC58" s="71">
        <f>Y58*E9</f>
        <v>0</v>
      </c>
    </row>
    <row r="59" spans="1:29" x14ac:dyDescent="0.25">
      <c r="A59" s="71"/>
      <c r="B59" s="38"/>
      <c r="C59" s="38" t="s">
        <v>218</v>
      </c>
      <c r="D59" s="38" t="s">
        <v>219</v>
      </c>
      <c r="E59" s="99">
        <v>0.11945902080000001</v>
      </c>
      <c r="F59" s="99">
        <v>0</v>
      </c>
      <c r="G59" s="38">
        <v>7</v>
      </c>
      <c r="H59" s="39">
        <f t="shared" si="10"/>
        <v>3.3448525824000007E-2</v>
      </c>
      <c r="I59" s="39"/>
      <c r="J59" s="38">
        <f>SUMIF('KIRIM ANTAR UNIT'!B:B,'SETTING PRODUKSI SEPTEMBER AU'!C59,'KIRIM ANTAR UNIT'!E:E)</f>
        <v>0</v>
      </c>
      <c r="K59" s="38">
        <f>SUMIF('KIRIM ANTAR UNIT'!B:B,'SETTING PRODUKSI SEPTEMBER AU'!C59,'KIRIM ANTAR UNIT'!F:F)</f>
        <v>0</v>
      </c>
      <c r="L59" s="40">
        <f t="shared" si="16"/>
        <v>0.15290754662400002</v>
      </c>
      <c r="M59" s="40">
        <f t="shared" si="12"/>
        <v>6.1163018649600005E-3</v>
      </c>
      <c r="N59" s="41">
        <f>VLOOKUP(C59,'MASTER DATA'!B:D,3,0)</f>
        <v>1</v>
      </c>
      <c r="O59" s="77">
        <f t="shared" si="13"/>
        <v>6.1163018649600005</v>
      </c>
      <c r="P59" s="42">
        <f t="shared" si="14"/>
        <v>3.3448525824000014E-2</v>
      </c>
      <c r="Q59" s="77">
        <f t="shared" si="15"/>
        <v>7.0000000000000018</v>
      </c>
      <c r="R59" s="38"/>
      <c r="S59" s="38"/>
    </row>
    <row r="60" spans="1:29" x14ac:dyDescent="0.25">
      <c r="A60" s="71"/>
      <c r="B60" s="38"/>
      <c r="C60" s="38" t="s">
        <v>220</v>
      </c>
      <c r="D60" s="38" t="s">
        <v>221</v>
      </c>
      <c r="E60" s="99">
        <v>5.4791964279992819E-2</v>
      </c>
      <c r="F60" s="99">
        <v>7.8140000000000001E-2</v>
      </c>
      <c r="G60" s="38">
        <v>7</v>
      </c>
      <c r="H60" s="39">
        <f t="shared" si="10"/>
        <v>1.5341749998397989E-2</v>
      </c>
      <c r="I60" s="39"/>
      <c r="J60" s="38">
        <f>SUMIF('KIRIM ANTAR UNIT'!B:B,'SETTING PRODUKSI SEPTEMBER AU'!C60,'KIRIM ANTAR UNIT'!E:E)</f>
        <v>0</v>
      </c>
      <c r="K60" s="38">
        <f>SUMIF('KIRIM ANTAR UNIT'!B:B,'SETTING PRODUKSI SEPTEMBER AU'!C60,'KIRIM ANTAR UNIT'!F:F)</f>
        <v>0</v>
      </c>
      <c r="L60" s="40">
        <f t="shared" si="16"/>
        <v>0</v>
      </c>
      <c r="M60" s="40">
        <f t="shared" si="12"/>
        <v>0</v>
      </c>
      <c r="N60" s="41">
        <f>VLOOKUP(C60,'MASTER DATA'!B:D,3,0)</f>
        <v>1</v>
      </c>
      <c r="O60" s="77">
        <f t="shared" si="13"/>
        <v>0</v>
      </c>
      <c r="P60" s="42">
        <f t="shared" si="14"/>
        <v>2.3348035720007182E-2</v>
      </c>
      <c r="Q60" s="77">
        <f t="shared" si="15"/>
        <v>10.653038281624752</v>
      </c>
      <c r="R60" s="38"/>
      <c r="S60" s="38"/>
    </row>
    <row r="61" spans="1:29" x14ac:dyDescent="0.25">
      <c r="A61" s="71"/>
      <c r="B61" s="38"/>
      <c r="C61" s="38" t="s">
        <v>222</v>
      </c>
      <c r="D61" s="38" t="s">
        <v>223</v>
      </c>
      <c r="E61" s="99">
        <v>0.49125457919999999</v>
      </c>
      <c r="F61" s="99">
        <v>0.70208999999999988</v>
      </c>
      <c r="G61" s="38">
        <v>7</v>
      </c>
      <c r="H61" s="39">
        <f t="shared" si="10"/>
        <v>0.13755128217600002</v>
      </c>
      <c r="I61" s="39"/>
      <c r="J61" s="38">
        <f>SUMIF('KIRIM ANTAR UNIT'!B:B,'SETTING PRODUKSI SEPTEMBER AU'!C61,'KIRIM ANTAR UNIT'!E:E)</f>
        <v>0</v>
      </c>
      <c r="K61" s="38">
        <f>SUMIF('KIRIM ANTAR UNIT'!B:B,'SETTING PRODUKSI SEPTEMBER AU'!C61,'KIRIM ANTAR UNIT'!F:F)</f>
        <v>0</v>
      </c>
      <c r="L61" s="40">
        <f t="shared" si="16"/>
        <v>0</v>
      </c>
      <c r="M61" s="40">
        <f t="shared" si="12"/>
        <v>0</v>
      </c>
      <c r="N61" s="41">
        <f>VLOOKUP(C61,'MASTER DATA'!B:D,3,0)</f>
        <v>1.1000000000000001</v>
      </c>
      <c r="O61" s="77">
        <f t="shared" si="13"/>
        <v>0</v>
      </c>
      <c r="P61" s="42">
        <f t="shared" si="14"/>
        <v>0.2108354207999999</v>
      </c>
      <c r="Q61" s="77">
        <f t="shared" si="15"/>
        <v>10.72943793945605</v>
      </c>
      <c r="R61" s="38"/>
      <c r="S61" s="38"/>
    </row>
    <row r="62" spans="1:29" x14ac:dyDescent="0.25">
      <c r="A62" s="71"/>
      <c r="B62" s="38"/>
      <c r="C62" s="38" t="s">
        <v>224</v>
      </c>
      <c r="D62" s="38" t="s">
        <v>225</v>
      </c>
      <c r="E62" s="99">
        <v>2.3043342336000006</v>
      </c>
      <c r="F62" s="99">
        <v>2.4344500000000004</v>
      </c>
      <c r="G62" s="38">
        <v>7</v>
      </c>
      <c r="H62" s="39">
        <f t="shared" si="10"/>
        <v>0.64521358540800022</v>
      </c>
      <c r="I62" s="39"/>
      <c r="J62" s="38">
        <f>SUMIF('KIRIM ANTAR UNIT'!B:B,'SETTING PRODUKSI SEPTEMBER AU'!C62,'KIRIM ANTAR UNIT'!E:E)</f>
        <v>0</v>
      </c>
      <c r="K62" s="38">
        <f>SUMIF('KIRIM ANTAR UNIT'!B:B,'SETTING PRODUKSI SEPTEMBER AU'!C62,'KIRIM ANTAR UNIT'!F:F)</f>
        <v>0</v>
      </c>
      <c r="L62" s="40">
        <f t="shared" si="16"/>
        <v>0.51509781900800033</v>
      </c>
      <c r="M62" s="40">
        <f t="shared" si="12"/>
        <v>2.0603912760320014E-2</v>
      </c>
      <c r="N62" s="41">
        <f>VLOOKUP(C62,'MASTER DATA'!B:D,3,0)</f>
        <v>0.9</v>
      </c>
      <c r="O62" s="77">
        <f t="shared" si="13"/>
        <v>22.893236400355573</v>
      </c>
      <c r="P62" s="42">
        <f t="shared" si="14"/>
        <v>0.64521358540800033</v>
      </c>
      <c r="Q62" s="77">
        <f t="shared" si="15"/>
        <v>7.0000000000000018</v>
      </c>
      <c r="R62" s="38"/>
      <c r="S62" s="38"/>
    </row>
    <row r="63" spans="1:29" x14ac:dyDescent="0.25">
      <c r="A63" s="71"/>
      <c r="B63" s="38"/>
      <c r="C63" s="38" t="s">
        <v>226</v>
      </c>
      <c r="D63" s="38" t="s">
        <v>227</v>
      </c>
      <c r="E63" s="99">
        <v>0.57206374400000004</v>
      </c>
      <c r="F63" s="99">
        <v>0</v>
      </c>
      <c r="G63" s="38">
        <v>7</v>
      </c>
      <c r="H63" s="39">
        <f t="shared" si="10"/>
        <v>0.16017784832000001</v>
      </c>
      <c r="I63" s="39"/>
      <c r="J63" s="38">
        <f>SUMIF('KIRIM ANTAR UNIT'!B:B,'SETTING PRODUKSI SEPTEMBER AU'!C63,'KIRIM ANTAR UNIT'!E:E)</f>
        <v>0</v>
      </c>
      <c r="K63" s="38">
        <f>SUMIF('KIRIM ANTAR UNIT'!B:B,'SETTING PRODUKSI SEPTEMBER AU'!C63,'KIRIM ANTAR UNIT'!F:F)</f>
        <v>0</v>
      </c>
      <c r="L63" s="40">
        <f t="shared" si="16"/>
        <v>0.73224159232000008</v>
      </c>
      <c r="M63" s="40">
        <f t="shared" si="12"/>
        <v>2.9289663692800002E-2</v>
      </c>
      <c r="N63" s="41">
        <f>VLOOKUP(C63,'MASTER DATA'!B:D,3,0)</f>
        <v>1.2</v>
      </c>
      <c r="O63" s="77">
        <f t="shared" si="13"/>
        <v>24.408053077333335</v>
      </c>
      <c r="P63" s="42">
        <f t="shared" si="14"/>
        <v>0.16017784832000004</v>
      </c>
      <c r="Q63" s="77">
        <f t="shared" si="15"/>
        <v>7.0000000000000009</v>
      </c>
      <c r="R63" s="38"/>
      <c r="S63" s="38"/>
    </row>
    <row r="64" spans="1:29" x14ac:dyDescent="0.25">
      <c r="A64" s="71"/>
      <c r="B64" s="38"/>
      <c r="C64" s="38" t="s">
        <v>228</v>
      </c>
      <c r="D64" s="38" t="s">
        <v>229</v>
      </c>
      <c r="E64" s="99">
        <v>0.17171087359999998</v>
      </c>
      <c r="F64" s="99">
        <v>0</v>
      </c>
      <c r="G64" s="38">
        <v>7</v>
      </c>
      <c r="H64" s="39">
        <f t="shared" si="10"/>
        <v>4.8079044607999999E-2</v>
      </c>
      <c r="I64" s="39"/>
      <c r="J64" s="38">
        <f>SUMIF('KIRIM ANTAR UNIT'!B:B,'SETTING PRODUKSI SEPTEMBER AU'!C64,'KIRIM ANTAR UNIT'!E:E)</f>
        <v>0</v>
      </c>
      <c r="K64" s="38">
        <f>SUMIF('KIRIM ANTAR UNIT'!B:B,'SETTING PRODUKSI SEPTEMBER AU'!C64,'KIRIM ANTAR UNIT'!F:F)</f>
        <v>0</v>
      </c>
      <c r="L64" s="40">
        <f t="shared" si="16"/>
        <v>0.21978991820799998</v>
      </c>
      <c r="M64" s="40">
        <f t="shared" si="12"/>
        <v>8.7915967283199985E-3</v>
      </c>
      <c r="N64" s="41">
        <f>VLOOKUP(C64,'MASTER DATA'!B:D,3,0)</f>
        <v>1</v>
      </c>
      <c r="O64" s="77">
        <f t="shared" si="13"/>
        <v>8.7915967283199983</v>
      </c>
      <c r="P64" s="42">
        <f t="shared" si="14"/>
        <v>4.8079044607999999E-2</v>
      </c>
      <c r="Q64" s="77">
        <f t="shared" si="15"/>
        <v>7.0000000000000009</v>
      </c>
      <c r="R64" s="38"/>
      <c r="S64" s="38"/>
    </row>
    <row r="65" spans="1:19" x14ac:dyDescent="0.25">
      <c r="A65" s="71"/>
      <c r="B65" s="38"/>
      <c r="C65" s="38" t="s">
        <v>230</v>
      </c>
      <c r="D65" s="38" t="s">
        <v>231</v>
      </c>
      <c r="E65" s="99">
        <v>6.4339967999999997E-2</v>
      </c>
      <c r="F65" s="99">
        <v>0.41242000000000001</v>
      </c>
      <c r="G65" s="38">
        <v>7</v>
      </c>
      <c r="H65" s="39">
        <f t="shared" si="10"/>
        <v>1.801519104E-2</v>
      </c>
      <c r="I65" s="39"/>
      <c r="J65" s="38">
        <f>SUMIF('KIRIM ANTAR UNIT'!B:B,'SETTING PRODUKSI SEPTEMBER AU'!C65,'KIRIM ANTAR UNIT'!E:E)</f>
        <v>0</v>
      </c>
      <c r="K65" s="38">
        <f>SUMIF('KIRIM ANTAR UNIT'!B:B,'SETTING PRODUKSI SEPTEMBER AU'!C65,'KIRIM ANTAR UNIT'!F:F)</f>
        <v>0</v>
      </c>
      <c r="L65" s="40">
        <f t="shared" si="16"/>
        <v>0</v>
      </c>
      <c r="M65" s="40">
        <f t="shared" si="12"/>
        <v>0</v>
      </c>
      <c r="N65" s="41">
        <f>VLOOKUP(C65,'MASTER DATA'!B:D,3,0)</f>
        <v>0.9</v>
      </c>
      <c r="O65" s="77">
        <f t="shared" si="13"/>
        <v>0</v>
      </c>
      <c r="P65" s="42">
        <f t="shared" si="14"/>
        <v>0.34808003200000004</v>
      </c>
      <c r="Q65" s="77">
        <f t="shared" si="15"/>
        <v>135.25031283820348</v>
      </c>
      <c r="R65" s="38"/>
      <c r="S65" s="38"/>
    </row>
    <row r="66" spans="1:19" x14ac:dyDescent="0.25">
      <c r="A66" s="71"/>
      <c r="B66" s="38"/>
      <c r="C66" s="38" t="s">
        <v>232</v>
      </c>
      <c r="D66" s="38" t="s">
        <v>233</v>
      </c>
      <c r="E66" s="99">
        <v>3.5267477504000002</v>
      </c>
      <c r="F66" s="99">
        <v>0.55225999999999997</v>
      </c>
      <c r="G66" s="38">
        <v>7</v>
      </c>
      <c r="H66" s="39">
        <f t="shared" si="10"/>
        <v>0.987489370112</v>
      </c>
      <c r="I66" s="39"/>
      <c r="J66" s="38">
        <f>SUMIF('KIRIM ANTAR UNIT'!B:B,'SETTING PRODUKSI SEPTEMBER AU'!C66,'KIRIM ANTAR UNIT'!E:E)</f>
        <v>0</v>
      </c>
      <c r="K66" s="38">
        <f>SUMIF('KIRIM ANTAR UNIT'!B:B,'SETTING PRODUKSI SEPTEMBER AU'!C66,'KIRIM ANTAR UNIT'!F:F)</f>
        <v>0</v>
      </c>
      <c r="L66" s="40">
        <f t="shared" si="16"/>
        <v>3.9619771205120005</v>
      </c>
      <c r="M66" s="40">
        <f t="shared" si="12"/>
        <v>0.15847908482048001</v>
      </c>
      <c r="N66" s="41">
        <f>VLOOKUP(C66,'MASTER DATA'!B:D,3,0)</f>
        <v>0.8</v>
      </c>
      <c r="O66" s="77">
        <f t="shared" si="13"/>
        <v>198.09885602560001</v>
      </c>
      <c r="P66" s="42">
        <f t="shared" si="14"/>
        <v>0.98748937011199978</v>
      </c>
      <c r="Q66" s="77">
        <f t="shared" si="15"/>
        <v>6.9999999999999982</v>
      </c>
      <c r="R66" s="38"/>
      <c r="S66" s="38"/>
    </row>
    <row r="67" spans="1:19" x14ac:dyDescent="0.25">
      <c r="A67" s="71"/>
      <c r="B67" s="38"/>
      <c r="C67" s="38" t="s">
        <v>234</v>
      </c>
      <c r="D67" s="38" t="s">
        <v>235</v>
      </c>
      <c r="E67" s="99">
        <v>0.1</v>
      </c>
      <c r="F67" s="99">
        <v>2.078E-2</v>
      </c>
      <c r="G67" s="38">
        <v>7</v>
      </c>
      <c r="H67" s="39">
        <f t="shared" si="10"/>
        <v>2.8000000000000001E-2</v>
      </c>
      <c r="I67" s="39"/>
      <c r="J67" s="38">
        <f>SUMIF('KIRIM ANTAR UNIT'!B:B,'SETTING PRODUKSI SEPTEMBER AU'!C67,'KIRIM ANTAR UNIT'!E:E)</f>
        <v>0</v>
      </c>
      <c r="K67" s="38">
        <f>SUMIF('KIRIM ANTAR UNIT'!B:B,'SETTING PRODUKSI SEPTEMBER AU'!C67,'KIRIM ANTAR UNIT'!F:F)</f>
        <v>0</v>
      </c>
      <c r="L67" s="40">
        <f t="shared" si="16"/>
        <v>0.10722000000000001</v>
      </c>
      <c r="M67" s="40">
        <f t="shared" si="12"/>
        <v>4.2888000000000006E-3</v>
      </c>
      <c r="N67" s="41">
        <f>VLOOKUP(C67,'MASTER DATA'!B:D,3,0)</f>
        <v>0.8</v>
      </c>
      <c r="O67" s="77">
        <f t="shared" si="13"/>
        <v>5.3609999999999998</v>
      </c>
      <c r="P67" s="42">
        <f t="shared" si="14"/>
        <v>2.7999999999999997E-2</v>
      </c>
      <c r="Q67" s="77">
        <f t="shared" si="15"/>
        <v>6.9999999999999991</v>
      </c>
      <c r="R67" s="38"/>
      <c r="S67" s="38"/>
    </row>
    <row r="68" spans="1:19" x14ac:dyDescent="0.25">
      <c r="A68" s="71"/>
      <c r="B68" s="38"/>
      <c r="C68" s="38" t="s">
        <v>236</v>
      </c>
      <c r="D68" s="38" t="s">
        <v>237</v>
      </c>
      <c r="E68" s="99">
        <v>3.0576279552000001</v>
      </c>
      <c r="F68" s="99">
        <v>1.32318</v>
      </c>
      <c r="G68" s="38">
        <v>7</v>
      </c>
      <c r="H68" s="39">
        <f t="shared" si="10"/>
        <v>0.85613582745600003</v>
      </c>
      <c r="I68" s="39"/>
      <c r="J68" s="38">
        <f>SUMIF('KIRIM ANTAR UNIT'!B:B,'SETTING PRODUKSI SEPTEMBER AU'!C68,'KIRIM ANTAR UNIT'!E:E)</f>
        <v>0</v>
      </c>
      <c r="K68" s="38">
        <f>SUMIF('KIRIM ANTAR UNIT'!B:B,'SETTING PRODUKSI SEPTEMBER AU'!C68,'KIRIM ANTAR UNIT'!F:F)</f>
        <v>0</v>
      </c>
      <c r="L68" s="40">
        <f t="shared" si="16"/>
        <v>2.5905837826560001</v>
      </c>
      <c r="M68" s="40">
        <f t="shared" si="12"/>
        <v>0.10362335130624001</v>
      </c>
      <c r="N68" s="41">
        <f>VLOOKUP(C68,'MASTER DATA'!B:D,3,0)</f>
        <v>1</v>
      </c>
      <c r="O68" s="77">
        <f t="shared" si="13"/>
        <v>103.62335130624001</v>
      </c>
      <c r="P68" s="42">
        <f t="shared" si="14"/>
        <v>0.85613582745599981</v>
      </c>
      <c r="Q68" s="77">
        <f t="shared" si="15"/>
        <v>6.9999999999999982</v>
      </c>
      <c r="R68" s="38"/>
      <c r="S68" s="38"/>
    </row>
    <row r="69" spans="1:19" x14ac:dyDescent="0.25">
      <c r="A69" s="71"/>
      <c r="B69" s="38"/>
      <c r="C69" s="38" t="s">
        <v>238</v>
      </c>
      <c r="D69" s="38" t="s">
        <v>239</v>
      </c>
      <c r="E69" s="99">
        <v>0.23123394559999999</v>
      </c>
      <c r="F69" s="99">
        <v>0</v>
      </c>
      <c r="G69" s="38">
        <v>7</v>
      </c>
      <c r="H69" s="39">
        <f t="shared" si="10"/>
        <v>6.4745504768000006E-2</v>
      </c>
      <c r="I69" s="39"/>
      <c r="J69" s="38">
        <f>SUMIF('KIRIM ANTAR UNIT'!B:B,'SETTING PRODUKSI SEPTEMBER AU'!C69,'KIRIM ANTAR UNIT'!E:E)</f>
        <v>0</v>
      </c>
      <c r="K69" s="38">
        <f>SUMIF('KIRIM ANTAR UNIT'!B:B,'SETTING PRODUKSI SEPTEMBER AU'!C69,'KIRIM ANTAR UNIT'!F:F)</f>
        <v>0</v>
      </c>
      <c r="L69" s="40">
        <f t="shared" si="16"/>
        <v>0.295979450368</v>
      </c>
      <c r="M69" s="40">
        <f t="shared" si="12"/>
        <v>1.183917801472E-2</v>
      </c>
      <c r="N69" s="41">
        <f>VLOOKUP(C69,'MASTER DATA'!B:D,3,0)</f>
        <v>1.1000000000000001</v>
      </c>
      <c r="O69" s="77">
        <f t="shared" si="13"/>
        <v>10.762889104290908</v>
      </c>
      <c r="P69" s="42">
        <f t="shared" si="14"/>
        <v>6.4745504768000006E-2</v>
      </c>
      <c r="Q69" s="77">
        <f t="shared" si="15"/>
        <v>7.0000000000000009</v>
      </c>
      <c r="R69" s="38"/>
      <c r="S69" s="38"/>
    </row>
    <row r="70" spans="1:19" x14ac:dyDescent="0.25">
      <c r="A70" s="71"/>
      <c r="B70" s="38"/>
      <c r="C70" s="38" t="s">
        <v>240</v>
      </c>
      <c r="D70" s="38" t="s">
        <v>241</v>
      </c>
      <c r="E70" s="99">
        <v>2.1359951871999998</v>
      </c>
      <c r="F70" s="99">
        <v>2.376E-2</v>
      </c>
      <c r="G70" s="38">
        <v>7</v>
      </c>
      <c r="H70" s="39">
        <f t="shared" si="10"/>
        <v>0.598078652416</v>
      </c>
      <c r="I70" s="39"/>
      <c r="J70" s="38">
        <f>SUMIF('KIRIM ANTAR UNIT'!B:B,'SETTING PRODUKSI SEPTEMBER AU'!C70,'KIRIM ANTAR UNIT'!E:E)</f>
        <v>0</v>
      </c>
      <c r="K70" s="38">
        <f>SUMIF('KIRIM ANTAR UNIT'!B:B,'SETTING PRODUKSI SEPTEMBER AU'!C70,'KIRIM ANTAR UNIT'!F:F)</f>
        <v>0</v>
      </c>
      <c r="L70" s="40">
        <f t="shared" si="16"/>
        <v>2.710313839616</v>
      </c>
      <c r="M70" s="40">
        <f t="shared" si="12"/>
        <v>0.10841255358464</v>
      </c>
      <c r="N70" s="41">
        <f>VLOOKUP(C70,'MASTER DATA'!B:D,3,0)</f>
        <v>1.2</v>
      </c>
      <c r="O70" s="77">
        <f t="shared" si="13"/>
        <v>90.343794653866667</v>
      </c>
      <c r="P70" s="42">
        <f t="shared" si="14"/>
        <v>0.598078652416</v>
      </c>
      <c r="Q70" s="77">
        <f t="shared" si="15"/>
        <v>7.0000000000000009</v>
      </c>
      <c r="R70" s="38"/>
      <c r="S70" s="38"/>
    </row>
    <row r="71" spans="1:19" x14ac:dyDescent="0.25">
      <c r="A71" s="71"/>
      <c r="B71" s="38"/>
      <c r="C71" s="38" t="s">
        <v>242</v>
      </c>
      <c r="D71" s="38" t="s">
        <v>243</v>
      </c>
      <c r="E71" s="99">
        <v>0.18153382109477109</v>
      </c>
      <c r="F71" s="99">
        <v>0.5897</v>
      </c>
      <c r="G71" s="38">
        <v>7</v>
      </c>
      <c r="H71" s="39">
        <f t="shared" si="10"/>
        <v>5.0829469906535911E-2</v>
      </c>
      <c r="I71" s="39"/>
      <c r="J71" s="38">
        <f>SUMIF('KIRIM ANTAR UNIT'!B:B,'SETTING PRODUKSI SEPTEMBER AU'!C71,'KIRIM ANTAR UNIT'!E:E)</f>
        <v>0</v>
      </c>
      <c r="K71" s="38">
        <f>SUMIF('KIRIM ANTAR UNIT'!B:B,'SETTING PRODUKSI SEPTEMBER AU'!C71,'KIRIM ANTAR UNIT'!F:F)</f>
        <v>0</v>
      </c>
      <c r="L71" s="40">
        <f t="shared" si="16"/>
        <v>0</v>
      </c>
      <c r="M71" s="40">
        <f t="shared" si="12"/>
        <v>0</v>
      </c>
      <c r="N71" s="41">
        <f>VLOOKUP(C71,'MASTER DATA'!B:D,3,0)</f>
        <v>0.8</v>
      </c>
      <c r="O71" s="77">
        <f t="shared" si="13"/>
        <v>0</v>
      </c>
      <c r="P71" s="42">
        <f t="shared" si="14"/>
        <v>0.40816617890522888</v>
      </c>
      <c r="Q71" s="77">
        <f t="shared" si="15"/>
        <v>56.210762331188775</v>
      </c>
      <c r="R71" s="38"/>
      <c r="S71" s="38"/>
    </row>
    <row r="72" spans="1:19" x14ac:dyDescent="0.25">
      <c r="A72" s="71"/>
      <c r="B72" s="38"/>
      <c r="C72" s="38" t="s">
        <v>244</v>
      </c>
      <c r="D72" s="38" t="s">
        <v>245</v>
      </c>
      <c r="E72" s="99">
        <v>1.5700659415624929</v>
      </c>
      <c r="F72" s="99">
        <v>1.3433299999999999</v>
      </c>
      <c r="G72" s="38">
        <v>7</v>
      </c>
      <c r="H72" s="39">
        <f t="shared" si="10"/>
        <v>0.43961846363749801</v>
      </c>
      <c r="I72" s="39"/>
      <c r="J72" s="38">
        <f>SUMIF('KIRIM ANTAR UNIT'!B:B,'SETTING PRODUKSI SEPTEMBER AU'!C72,'KIRIM ANTAR UNIT'!E:E)</f>
        <v>0</v>
      </c>
      <c r="K72" s="38">
        <f>SUMIF('KIRIM ANTAR UNIT'!B:B,'SETTING PRODUKSI SEPTEMBER AU'!C72,'KIRIM ANTAR UNIT'!F:F)</f>
        <v>0</v>
      </c>
      <c r="L72" s="40">
        <f t="shared" si="16"/>
        <v>0.66635440519999101</v>
      </c>
      <c r="M72" s="40">
        <f t="shared" si="12"/>
        <v>2.665417620799964E-2</v>
      </c>
      <c r="N72" s="41">
        <f>VLOOKUP(C72,'MASTER DATA'!B:D,3,0)</f>
        <v>0.9</v>
      </c>
      <c r="O72" s="77">
        <f t="shared" si="13"/>
        <v>29.61575134222182</v>
      </c>
      <c r="P72" s="42">
        <f t="shared" si="14"/>
        <v>0.43961846363749801</v>
      </c>
      <c r="Q72" s="77">
        <f t="shared" si="15"/>
        <v>7</v>
      </c>
      <c r="R72" s="38"/>
      <c r="S72" s="38"/>
    </row>
    <row r="73" spans="1:19" x14ac:dyDescent="0.25">
      <c r="A73" s="71"/>
      <c r="B73" s="38"/>
      <c r="C73" s="38" t="s">
        <v>246</v>
      </c>
      <c r="D73" s="38" t="s">
        <v>247</v>
      </c>
      <c r="E73" s="99">
        <v>1.2946554879999999</v>
      </c>
      <c r="F73" s="99">
        <v>0.92455999999999994</v>
      </c>
      <c r="G73" s="38">
        <v>7</v>
      </c>
      <c r="H73" s="39">
        <f t="shared" si="10"/>
        <v>0.36250353663999996</v>
      </c>
      <c r="I73" s="39"/>
      <c r="J73" s="38">
        <f>SUMIF('KIRIM ANTAR UNIT'!B:B,'SETTING PRODUKSI SEPTEMBER AU'!C73,'KIRIM ANTAR UNIT'!E:E)</f>
        <v>0</v>
      </c>
      <c r="K73" s="38">
        <f>SUMIF('KIRIM ANTAR UNIT'!B:B,'SETTING PRODUKSI SEPTEMBER AU'!C73,'KIRIM ANTAR UNIT'!F:F)</f>
        <v>0</v>
      </c>
      <c r="L73" s="40">
        <f t="shared" si="16"/>
        <v>0.73259902463999982</v>
      </c>
      <c r="M73" s="40">
        <f t="shared" si="12"/>
        <v>2.9303960985599994E-2</v>
      </c>
      <c r="N73" s="41">
        <f>VLOOKUP(C73,'MASTER DATA'!B:D,3,0)</f>
        <v>1.1000000000000001</v>
      </c>
      <c r="O73" s="77">
        <f t="shared" si="13"/>
        <v>26.639964532363628</v>
      </c>
      <c r="P73" s="42">
        <f t="shared" si="14"/>
        <v>0.36250353664000001</v>
      </c>
      <c r="Q73" s="77">
        <f t="shared" si="15"/>
        <v>7.0000000000000009</v>
      </c>
      <c r="R73" s="38"/>
      <c r="S73" s="38"/>
    </row>
    <row r="74" spans="1:19" x14ac:dyDescent="0.25">
      <c r="A74" s="71"/>
      <c r="B74" s="38"/>
      <c r="C74" s="38" t="s">
        <v>248</v>
      </c>
      <c r="D74" s="38" t="s">
        <v>249</v>
      </c>
      <c r="E74" s="99">
        <v>0.8245241446399999</v>
      </c>
      <c r="F74" s="99">
        <v>0.82998000000000005</v>
      </c>
      <c r="G74" s="38">
        <v>7</v>
      </c>
      <c r="H74" s="39">
        <f t="shared" si="10"/>
        <v>0.23086676049919996</v>
      </c>
      <c r="I74" s="39"/>
      <c r="J74" s="38">
        <f>SUMIF('KIRIM ANTAR UNIT'!B:B,'SETTING PRODUKSI SEPTEMBER AU'!C74,'KIRIM ANTAR UNIT'!E:E)</f>
        <v>0</v>
      </c>
      <c r="K74" s="38">
        <f>SUMIF('KIRIM ANTAR UNIT'!B:B,'SETTING PRODUKSI SEPTEMBER AU'!C74,'KIRIM ANTAR UNIT'!F:F)</f>
        <v>0</v>
      </c>
      <c r="L74" s="40">
        <f t="shared" si="16"/>
        <v>0.22541090513919981</v>
      </c>
      <c r="M74" s="40">
        <f t="shared" si="12"/>
        <v>9.0164362055679924E-3</v>
      </c>
      <c r="N74" s="41">
        <f>VLOOKUP(C74,'MASTER DATA'!B:D,3,0)</f>
        <v>0.9</v>
      </c>
      <c r="O74" s="77">
        <f t="shared" si="13"/>
        <v>10.018262450631102</v>
      </c>
      <c r="P74" s="42">
        <f t="shared" si="14"/>
        <v>0.23086676049919996</v>
      </c>
      <c r="Q74" s="77">
        <f t="shared" si="15"/>
        <v>7</v>
      </c>
      <c r="R74" s="38"/>
      <c r="S74" s="38"/>
    </row>
    <row r="75" spans="1:19" x14ac:dyDescent="0.25">
      <c r="A75" s="71"/>
      <c r="B75" s="38"/>
      <c r="C75" s="38" t="s">
        <v>250</v>
      </c>
      <c r="D75" s="38" t="s">
        <v>251</v>
      </c>
      <c r="E75" s="99">
        <v>2.539688398751939</v>
      </c>
      <c r="F75" s="99">
        <v>2.6686600000000005</v>
      </c>
      <c r="G75" s="38">
        <v>7</v>
      </c>
      <c r="H75" s="39">
        <f t="shared" si="10"/>
        <v>0.711112751650543</v>
      </c>
      <c r="I75" s="39"/>
      <c r="J75" s="38">
        <f>SUMIF('KIRIM ANTAR UNIT'!B:B,'SETTING PRODUKSI SEPTEMBER AU'!C75,'KIRIM ANTAR UNIT'!E:E)</f>
        <v>0</v>
      </c>
      <c r="K75" s="38">
        <f>SUMIF('KIRIM ANTAR UNIT'!B:B,'SETTING PRODUKSI SEPTEMBER AU'!C75,'KIRIM ANTAR UNIT'!F:F)</f>
        <v>0</v>
      </c>
      <c r="L75" s="40">
        <f t="shared" si="16"/>
        <v>0.58214115040248149</v>
      </c>
      <c r="M75" s="40">
        <f t="shared" si="12"/>
        <v>2.3285646016099261E-2</v>
      </c>
      <c r="N75" s="41">
        <f>VLOOKUP(C75,'MASTER DATA'!B:D,3,0)</f>
        <v>1</v>
      </c>
      <c r="O75" s="77">
        <f t="shared" si="13"/>
        <v>23.28564601609926</v>
      </c>
      <c r="P75" s="42">
        <f t="shared" si="14"/>
        <v>0.71111275165054311</v>
      </c>
      <c r="Q75" s="77">
        <f t="shared" si="15"/>
        <v>7.0000000000000018</v>
      </c>
      <c r="R75" s="38"/>
      <c r="S75" s="38"/>
    </row>
    <row r="76" spans="1:19" x14ac:dyDescent="0.25">
      <c r="A76" s="71"/>
      <c r="B76" s="38"/>
      <c r="C76" s="38" t="s">
        <v>252</v>
      </c>
      <c r="D76" s="38" t="s">
        <v>253</v>
      </c>
      <c r="E76" s="99">
        <v>0.14992015359999999</v>
      </c>
      <c r="F76" s="99">
        <v>1.1313</v>
      </c>
      <c r="G76" s="38">
        <v>7</v>
      </c>
      <c r="H76" s="39">
        <f t="shared" si="10"/>
        <v>4.1977643007999998E-2</v>
      </c>
      <c r="I76" s="39"/>
      <c r="J76" s="38">
        <f>SUMIF('KIRIM ANTAR UNIT'!B:B,'SETTING PRODUKSI SEPTEMBER AU'!C76,'KIRIM ANTAR UNIT'!E:E)</f>
        <v>0</v>
      </c>
      <c r="K76" s="38">
        <f>SUMIF('KIRIM ANTAR UNIT'!B:B,'SETTING PRODUKSI SEPTEMBER AU'!C76,'KIRIM ANTAR UNIT'!F:F)</f>
        <v>0</v>
      </c>
      <c r="L76" s="40">
        <f t="shared" si="16"/>
        <v>0</v>
      </c>
      <c r="M76" s="40">
        <f t="shared" si="12"/>
        <v>0</v>
      </c>
      <c r="N76" s="41">
        <f>VLOOKUP(C76,'MASTER DATA'!B:D,3,0)</f>
        <v>0.9</v>
      </c>
      <c r="O76" s="77">
        <f t="shared" si="13"/>
        <v>0</v>
      </c>
      <c r="P76" s="42">
        <f t="shared" si="14"/>
        <v>0.98137984639999998</v>
      </c>
      <c r="Q76" s="77">
        <f t="shared" si="15"/>
        <v>163.65042037950528</v>
      </c>
      <c r="R76" s="38"/>
      <c r="S76" s="38"/>
    </row>
    <row r="77" spans="1:19" x14ac:dyDescent="0.25">
      <c r="A77" s="71"/>
      <c r="B77" s="38"/>
      <c r="C77" s="38" t="s">
        <v>254</v>
      </c>
      <c r="D77" s="38" t="s">
        <v>255</v>
      </c>
      <c r="E77" s="99">
        <v>0.15446335656548379</v>
      </c>
      <c r="F77" s="99">
        <v>0</v>
      </c>
      <c r="G77" s="38">
        <v>7</v>
      </c>
      <c r="H77" s="39">
        <f t="shared" si="10"/>
        <v>4.3249739838335466E-2</v>
      </c>
      <c r="I77" s="39"/>
      <c r="J77" s="38">
        <f>SUMIF('KIRIM ANTAR UNIT'!B:B,'SETTING PRODUKSI SEPTEMBER AU'!C77,'KIRIM ANTAR UNIT'!E:E)</f>
        <v>0</v>
      </c>
      <c r="K77" s="38">
        <f>SUMIF('KIRIM ANTAR UNIT'!B:B,'SETTING PRODUKSI SEPTEMBER AU'!C77,'KIRIM ANTAR UNIT'!F:F)</f>
        <v>0</v>
      </c>
      <c r="L77" s="40">
        <f t="shared" si="16"/>
        <v>0.19771309640381926</v>
      </c>
      <c r="M77" s="40">
        <f t="shared" si="12"/>
        <v>7.9085238561527708E-3</v>
      </c>
      <c r="N77" s="41">
        <f>VLOOKUP(C77,'MASTER DATA'!B:D,3,0)</f>
        <v>0.9</v>
      </c>
      <c r="O77" s="77">
        <f t="shared" si="13"/>
        <v>8.7872487290586339</v>
      </c>
      <c r="P77" s="42">
        <f t="shared" si="14"/>
        <v>4.3249739838335466E-2</v>
      </c>
      <c r="Q77" s="77">
        <f t="shared" si="15"/>
        <v>7</v>
      </c>
      <c r="R77" s="38"/>
      <c r="S77" s="38"/>
    </row>
    <row r="78" spans="1:19" x14ac:dyDescent="0.25">
      <c r="A78" s="71"/>
      <c r="B78" s="38"/>
      <c r="C78" s="38" t="s">
        <v>256</v>
      </c>
      <c r="D78" s="38" t="s">
        <v>257</v>
      </c>
      <c r="E78" s="99">
        <v>10</v>
      </c>
      <c r="F78" s="99">
        <v>4.8748900000000006</v>
      </c>
      <c r="G78" s="38">
        <v>7</v>
      </c>
      <c r="H78" s="39">
        <f t="shared" si="10"/>
        <v>2.8000000000000003</v>
      </c>
      <c r="I78" s="39"/>
      <c r="J78" s="38">
        <f>SUMIF('KIRIM ANTAR UNIT'!B:B,'SETTING PRODUKSI SEPTEMBER AU'!C78,'KIRIM ANTAR UNIT'!E:E)</f>
        <v>0</v>
      </c>
      <c r="K78" s="38">
        <f>SUMIF('KIRIM ANTAR UNIT'!B:B,'SETTING PRODUKSI SEPTEMBER AU'!C78,'KIRIM ANTAR UNIT'!F:F)</f>
        <v>0</v>
      </c>
      <c r="L78" s="40">
        <f t="shared" si="16"/>
        <v>7.9251100000000001</v>
      </c>
      <c r="M78" s="40">
        <f t="shared" si="12"/>
        <v>0.31700440000000002</v>
      </c>
      <c r="N78" s="41">
        <f>VLOOKUP(C78,'MASTER DATA'!B:D,3,0)</f>
        <v>1</v>
      </c>
      <c r="O78" s="77">
        <f t="shared" si="13"/>
        <v>317.00440000000003</v>
      </c>
      <c r="P78" s="42">
        <f t="shared" si="14"/>
        <v>2.8000000000000007</v>
      </c>
      <c r="Q78" s="77">
        <f t="shared" si="15"/>
        <v>7.0000000000000018</v>
      </c>
      <c r="R78" s="38"/>
      <c r="S78" s="38"/>
    </row>
    <row r="79" spans="1:19" x14ac:dyDescent="0.25">
      <c r="B79" s="38"/>
      <c r="C79" s="38" t="s">
        <v>258</v>
      </c>
      <c r="D79" s="38" t="s">
        <v>259</v>
      </c>
      <c r="E79" s="99">
        <v>3.3888720896000004</v>
      </c>
      <c r="F79" s="99">
        <v>4.0320000000000002E-2</v>
      </c>
      <c r="G79" s="38">
        <v>7</v>
      </c>
      <c r="H79" s="39">
        <f t="shared" ref="H79" si="22">(E79/$E$8)*G79</f>
        <v>0.94888418508800021</v>
      </c>
      <c r="I79" s="39"/>
      <c r="J79" s="38">
        <f>SUMIF('KIRIM ANTAR UNIT'!B:B,'SETTING PRODUKSI SEPTEMBER AU'!C79,'KIRIM ANTAR UNIT'!E:E)</f>
        <v>0</v>
      </c>
      <c r="K79" s="38">
        <f>SUMIF('KIRIM ANTAR UNIT'!B:B,'SETTING PRODUKSI SEPTEMBER AU'!C79,'KIRIM ANTAR UNIT'!F:F)</f>
        <v>0</v>
      </c>
      <c r="L79" s="40">
        <f t="shared" si="16"/>
        <v>4.2974362746880006</v>
      </c>
      <c r="M79" s="40">
        <f t="shared" ref="M79:M81" si="23">IF(L79&lt;0,0,L79/$E$9)</f>
        <v>0.17189745098752002</v>
      </c>
      <c r="N79" s="41">
        <f>VLOOKUP(C79,'MASTER DATA'!B:D,3,0)</f>
        <v>1</v>
      </c>
      <c r="O79" s="77">
        <f t="shared" ref="O79:O81" si="24">IFERROR(IF(M79&lt;0,0,(M79*1000)/N79),0)</f>
        <v>171.89745098752002</v>
      </c>
      <c r="P79" s="42">
        <f t="shared" ref="P79:P81" si="25">L79+F79+J79-K79-E79+I79</f>
        <v>0.94888418508800054</v>
      </c>
      <c r="Q79" s="77">
        <f t="shared" si="15"/>
        <v>7.0000000000000027</v>
      </c>
      <c r="R79" s="38"/>
      <c r="S79" s="38"/>
    </row>
    <row r="80" spans="1:19" x14ac:dyDescent="0.25">
      <c r="B80" s="38"/>
      <c r="C80" s="190"/>
      <c r="D80" s="38"/>
      <c r="E80" s="99"/>
      <c r="F80" s="39"/>
      <c r="G80" s="38"/>
      <c r="H80" s="39"/>
      <c r="I80" s="39"/>
      <c r="J80" s="38">
        <f>SUMIF('KIRIM ANTAR UNIT'!B:B,'SETTING PRODUKSI SEPTEMBER AU'!C80,'KIRIM ANTAR UNIT'!E:E)</f>
        <v>0</v>
      </c>
      <c r="K80" s="38">
        <f>SUMIF('KIRIM ANTAR UNIT'!B:B,'SETTING PRODUKSI SEPTEMBER AU'!C80,'KIRIM ANTAR UNIT'!F:F)</f>
        <v>0</v>
      </c>
      <c r="L80" s="40">
        <f t="shared" si="16"/>
        <v>0</v>
      </c>
      <c r="M80" s="40">
        <f t="shared" si="23"/>
        <v>0</v>
      </c>
      <c r="N80" s="41">
        <v>0.5</v>
      </c>
      <c r="O80" s="77">
        <f t="shared" si="24"/>
        <v>0</v>
      </c>
      <c r="P80" s="42">
        <f t="shared" si="25"/>
        <v>0</v>
      </c>
      <c r="Q80" s="77">
        <v>0</v>
      </c>
      <c r="R80" s="38"/>
      <c r="S80" s="38"/>
    </row>
    <row r="81" spans="2:19" x14ac:dyDescent="0.25">
      <c r="B81" s="38"/>
      <c r="C81" s="190"/>
      <c r="D81" s="38"/>
      <c r="E81" s="99"/>
      <c r="F81" s="50"/>
      <c r="G81" s="47"/>
      <c r="H81" s="48"/>
      <c r="I81" s="48"/>
      <c r="J81" s="38">
        <f>SUMIF('KIRIM ANTAR UNIT'!B:B,'SETTING PRODUKSI SEPTEMBER AU'!C81,'KIRIM ANTAR UNIT'!E:E)</f>
        <v>0</v>
      </c>
      <c r="K81" s="38">
        <f>SUMIF('KIRIM ANTAR UNIT'!B:B,'SETTING PRODUKSI SEPTEMBER AU'!C81,'KIRIM ANTAR UNIT'!F:F)</f>
        <v>0</v>
      </c>
      <c r="L81" s="40">
        <f t="shared" si="16"/>
        <v>0</v>
      </c>
      <c r="M81" s="40">
        <f t="shared" si="23"/>
        <v>0</v>
      </c>
      <c r="N81" s="41">
        <v>0.6</v>
      </c>
      <c r="O81" s="77">
        <f t="shared" si="24"/>
        <v>0</v>
      </c>
      <c r="P81" s="42">
        <f t="shared" si="25"/>
        <v>0</v>
      </c>
      <c r="Q81" s="77">
        <v>0</v>
      </c>
      <c r="R81" s="38"/>
      <c r="S81" s="38"/>
    </row>
    <row r="82" spans="2:19" x14ac:dyDescent="0.25">
      <c r="B82" s="38"/>
      <c r="C82" s="38"/>
      <c r="D82" s="58" t="s">
        <v>122</v>
      </c>
      <c r="E82" s="59">
        <f>SUM(E15:E81)</f>
        <v>485.67694320207852</v>
      </c>
      <c r="F82" s="59">
        <f>SUM(F15:F81)</f>
        <v>211.84585899999999</v>
      </c>
      <c r="G82" s="58"/>
      <c r="H82" s="59">
        <f>SUM(H15:H81)</f>
        <v>135.59803791583474</v>
      </c>
      <c r="I82" s="59"/>
      <c r="J82" s="59">
        <f>SUM(J15:J81)</f>
        <v>40</v>
      </c>
      <c r="K82" s="59">
        <f>SUM(K15:K81)</f>
        <v>0</v>
      </c>
      <c r="L82" s="59">
        <f>SUM(L15:L81)</f>
        <v>383.78072429871696</v>
      </c>
      <c r="M82" s="59">
        <f>SUM(M15:M81)</f>
        <v>15.351228971948684</v>
      </c>
      <c r="N82" s="59"/>
      <c r="O82" s="78">
        <f>SUM(O15:O81)</f>
        <v>15021.044267042824</v>
      </c>
      <c r="P82" s="59"/>
      <c r="Q82" s="78"/>
      <c r="R82" s="59"/>
      <c r="S82" s="38"/>
    </row>
    <row r="83" spans="2:19" x14ac:dyDescent="0.25">
      <c r="B83" s="195"/>
      <c r="C83" s="195" t="s">
        <v>120</v>
      </c>
      <c r="D83" s="53"/>
      <c r="E83" s="55"/>
      <c r="F83" s="55"/>
      <c r="G83" s="53"/>
      <c r="H83" s="55"/>
      <c r="I83" s="55"/>
      <c r="J83" s="53"/>
      <c r="K83" s="53"/>
      <c r="L83" s="53"/>
      <c r="M83" s="54"/>
      <c r="N83" s="43"/>
      <c r="O83" s="79"/>
      <c r="P83" s="44"/>
      <c r="Q83" s="79"/>
      <c r="R83" s="44"/>
      <c r="S83" s="44"/>
    </row>
    <row r="84" spans="2:19" x14ac:dyDescent="0.25">
      <c r="B84" s="38"/>
      <c r="C84" s="38" t="s">
        <v>91</v>
      </c>
      <c r="D84" s="38" t="s">
        <v>92</v>
      </c>
      <c r="E84" s="99">
        <v>1.664949128097843</v>
      </c>
      <c r="F84" s="99">
        <v>0.34658</v>
      </c>
      <c r="G84" s="38">
        <v>4</v>
      </c>
      <c r="H84" s="39">
        <f>(E84/$E$8)*G84</f>
        <v>0.26639186049565489</v>
      </c>
      <c r="I84" s="39"/>
      <c r="J84" s="38">
        <f>SUMIF('KIRIM ANTAR UNIT'!B:B,'SETTING PRODUKSI SEPTEMBER AU'!C84,'KIRIM ANTAR UNIT'!E:E)</f>
        <v>0</v>
      </c>
      <c r="K84" s="38">
        <f>SUMIF('KIRIM ANTAR UNIT'!B:B,'SETTING PRODUKSI SEPTEMBER AU'!C84,'KIRIM ANTAR UNIT'!F:F)</f>
        <v>0</v>
      </c>
      <c r="L84" s="40">
        <f t="shared" ref="L84:L102" si="26">IF(((E84-F84)+(H84)-(J84)+(K84))&lt;0,0,((E84-F84)+(H84)-(J84)+(K84)))</f>
        <v>1.5847609885934979</v>
      </c>
      <c r="M84" s="40">
        <f t="shared" ref="M84:M102" si="27">IF(L84&lt;0,0,L84/$E$9)</f>
        <v>6.3390439543739921E-2</v>
      </c>
      <c r="N84" s="41">
        <v>0.4</v>
      </c>
      <c r="O84" s="77">
        <f>IFERROR(IF(M84&lt;0,0,(M84*1000)/N84),0)</f>
        <v>158.4760988593498</v>
      </c>
      <c r="P84" s="42">
        <f>L84+F84+J84-K84-E84</f>
        <v>0.26639186049565478</v>
      </c>
      <c r="Q84" s="77">
        <f t="shared" ref="Q84:Q136" si="28">P84/(E84/$E$8)</f>
        <v>3.9999999999999982</v>
      </c>
      <c r="R84" s="38"/>
      <c r="S84" s="38"/>
    </row>
    <row r="85" spans="2:19" x14ac:dyDescent="0.25">
      <c r="B85" s="38"/>
      <c r="C85" s="38" t="s">
        <v>85</v>
      </c>
      <c r="D85" s="38" t="s">
        <v>86</v>
      </c>
      <c r="E85" s="99">
        <v>4.508957952891306</v>
      </c>
      <c r="F85" s="99">
        <v>0.46771000000000001</v>
      </c>
      <c r="G85" s="38">
        <v>4</v>
      </c>
      <c r="H85" s="39">
        <f t="shared" ref="H85:H102" si="29">(E85/$E$8)*G85</f>
        <v>0.72143327246260891</v>
      </c>
      <c r="I85" s="39"/>
      <c r="J85" s="38">
        <f>SUMIF('KIRIM ANTAR UNIT'!B:B,'SETTING PRODUKSI SEPTEMBER AU'!C85,'KIRIM ANTAR UNIT'!E:E)</f>
        <v>0</v>
      </c>
      <c r="K85" s="38">
        <f>SUMIF('KIRIM ANTAR UNIT'!B:B,'SETTING PRODUKSI SEPTEMBER AU'!C85,'KIRIM ANTAR UNIT'!F:F)</f>
        <v>0</v>
      </c>
      <c r="L85" s="40">
        <f t="shared" si="26"/>
        <v>4.7626812253539148</v>
      </c>
      <c r="M85" s="40">
        <f t="shared" si="27"/>
        <v>0.19050724901415658</v>
      </c>
      <c r="N85" s="41">
        <v>0.5</v>
      </c>
      <c r="O85" s="77">
        <f t="shared" ref="O85:O102" si="30">IFERROR(IF(M85&lt;0,0,(M85*1000)/N85),0)</f>
        <v>381.01449802831314</v>
      </c>
      <c r="P85" s="42">
        <f t="shared" ref="P85:P102" si="31">L85+F85+J85-K85-E85</f>
        <v>0.72143327246260913</v>
      </c>
      <c r="Q85" s="77">
        <f t="shared" si="28"/>
        <v>4.0000000000000009</v>
      </c>
      <c r="R85" s="38"/>
      <c r="S85" s="38"/>
    </row>
    <row r="86" spans="2:19" x14ac:dyDescent="0.25">
      <c r="B86" s="38"/>
      <c r="C86" s="38" t="s">
        <v>93</v>
      </c>
      <c r="D86" s="38" t="s">
        <v>94</v>
      </c>
      <c r="E86" s="99">
        <v>18.054254514600377</v>
      </c>
      <c r="F86" s="99">
        <v>12.879990000000001</v>
      </c>
      <c r="G86" s="38">
        <v>4</v>
      </c>
      <c r="H86" s="39">
        <f t="shared" si="29"/>
        <v>2.8886807223360602</v>
      </c>
      <c r="I86" s="39"/>
      <c r="J86" s="38">
        <f>SUMIF('KIRIM ANTAR UNIT'!B:B,'SETTING PRODUKSI SEPTEMBER AU'!C86,'KIRIM ANTAR UNIT'!E:E)</f>
        <v>0</v>
      </c>
      <c r="K86" s="38">
        <f>SUMIF('KIRIM ANTAR UNIT'!B:B,'SETTING PRODUKSI SEPTEMBER AU'!C86,'KIRIM ANTAR UNIT'!F:F)</f>
        <v>0</v>
      </c>
      <c r="L86" s="40">
        <f t="shared" si="26"/>
        <v>8.0629452369364358</v>
      </c>
      <c r="M86" s="40">
        <f t="shared" si="27"/>
        <v>0.32251780947745745</v>
      </c>
      <c r="N86" s="41">
        <v>0.6</v>
      </c>
      <c r="O86" s="77">
        <f t="shared" si="30"/>
        <v>537.52968246242904</v>
      </c>
      <c r="P86" s="42">
        <f t="shared" si="31"/>
        <v>2.8886807223360584</v>
      </c>
      <c r="Q86" s="77">
        <f t="shared" si="28"/>
        <v>3.9999999999999973</v>
      </c>
      <c r="R86" s="38"/>
      <c r="S86" s="38"/>
    </row>
    <row r="87" spans="2:19" x14ac:dyDescent="0.25">
      <c r="B87" s="38"/>
      <c r="C87" s="38" t="s">
        <v>89</v>
      </c>
      <c r="D87" s="38" t="s">
        <v>90</v>
      </c>
      <c r="E87" s="99">
        <v>24.875632840571566</v>
      </c>
      <c r="F87" s="99">
        <v>19.38541</v>
      </c>
      <c r="G87" s="38">
        <v>4</v>
      </c>
      <c r="H87" s="39">
        <f t="shared" si="29"/>
        <v>3.9801012544914505</v>
      </c>
      <c r="I87" s="39"/>
      <c r="J87" s="38">
        <f>SUMIF('KIRIM ANTAR UNIT'!B:B,'SETTING PRODUKSI SEPTEMBER AU'!C87,'KIRIM ANTAR UNIT'!E:E)</f>
        <v>0</v>
      </c>
      <c r="K87" s="38">
        <f>SUMIF('KIRIM ANTAR UNIT'!B:B,'SETTING PRODUKSI SEPTEMBER AU'!C87,'KIRIM ANTAR UNIT'!F:F)</f>
        <v>0</v>
      </c>
      <c r="L87" s="40">
        <f t="shared" si="26"/>
        <v>9.4703240950630168</v>
      </c>
      <c r="M87" s="40">
        <f t="shared" si="27"/>
        <v>0.37881296380252066</v>
      </c>
      <c r="N87" s="41">
        <v>0.7</v>
      </c>
      <c r="O87" s="77">
        <f t="shared" si="30"/>
        <v>541.16137686074376</v>
      </c>
      <c r="P87" s="42">
        <f t="shared" si="31"/>
        <v>3.9801012544914514</v>
      </c>
      <c r="Q87" s="77">
        <f t="shared" si="28"/>
        <v>4.0000000000000009</v>
      </c>
      <c r="R87" s="38"/>
      <c r="S87" s="38"/>
    </row>
    <row r="88" spans="2:19" x14ac:dyDescent="0.25">
      <c r="B88" s="38"/>
      <c r="C88" s="38" t="s">
        <v>87</v>
      </c>
      <c r="D88" s="38" t="s">
        <v>88</v>
      </c>
      <c r="E88" s="99">
        <v>46.908615580068961</v>
      </c>
      <c r="F88" s="99">
        <v>6.7941519999999995</v>
      </c>
      <c r="G88" s="38">
        <v>4</v>
      </c>
      <c r="H88" s="39">
        <f t="shared" si="29"/>
        <v>7.5053784928110341</v>
      </c>
      <c r="I88" s="39"/>
      <c r="J88" s="38">
        <f>SUMIF('KIRIM ANTAR UNIT'!B:B,'SETTING PRODUKSI SEPTEMBER AU'!C88,'KIRIM ANTAR UNIT'!E:E)</f>
        <v>0</v>
      </c>
      <c r="K88" s="38">
        <f>SUMIF('KIRIM ANTAR UNIT'!B:B,'SETTING PRODUKSI SEPTEMBER AU'!C88,'KIRIM ANTAR UNIT'!F:F)</f>
        <v>0</v>
      </c>
      <c r="L88" s="40">
        <f t="shared" si="26"/>
        <v>47.619842072879997</v>
      </c>
      <c r="M88" s="40">
        <f t="shared" si="27"/>
        <v>1.9047936829151999</v>
      </c>
      <c r="N88" s="41">
        <v>0.8</v>
      </c>
      <c r="O88" s="77">
        <f t="shared" si="30"/>
        <v>2380.9921036439996</v>
      </c>
      <c r="P88" s="42">
        <f t="shared" si="31"/>
        <v>7.5053784928110332</v>
      </c>
      <c r="Q88" s="77">
        <f t="shared" si="28"/>
        <v>3.9999999999999996</v>
      </c>
      <c r="R88" s="38"/>
      <c r="S88" s="38"/>
    </row>
    <row r="89" spans="2:19" x14ac:dyDescent="0.25">
      <c r="B89" s="38"/>
      <c r="C89" s="38" t="s">
        <v>260</v>
      </c>
      <c r="D89" s="38" t="s">
        <v>261</v>
      </c>
      <c r="E89" s="99">
        <v>0.125</v>
      </c>
      <c r="F89" s="99">
        <v>2.0000000000000002E-5</v>
      </c>
      <c r="G89" s="38">
        <v>4</v>
      </c>
      <c r="H89" s="39">
        <f t="shared" si="29"/>
        <v>0.02</v>
      </c>
      <c r="I89" s="39"/>
      <c r="J89" s="38">
        <f>SUMIF('KIRIM ANTAR UNIT'!B:B,'SETTING PRODUKSI SEPTEMBER AU'!C89,'KIRIM ANTAR UNIT'!E:E)</f>
        <v>0</v>
      </c>
      <c r="K89" s="38">
        <f>SUMIF('KIRIM ANTAR UNIT'!B:B,'SETTING PRODUKSI SEPTEMBER AU'!C89,'KIRIM ANTAR UNIT'!F:F)</f>
        <v>0</v>
      </c>
      <c r="L89" s="40">
        <f t="shared" si="26"/>
        <v>0.14498</v>
      </c>
      <c r="M89" s="40">
        <f t="shared" si="27"/>
        <v>5.7992E-3</v>
      </c>
      <c r="N89" s="41">
        <v>0.8</v>
      </c>
      <c r="O89" s="77">
        <f t="shared" si="30"/>
        <v>7.2489999999999997</v>
      </c>
      <c r="P89" s="42">
        <f t="shared" si="31"/>
        <v>1.999999999999999E-2</v>
      </c>
      <c r="Q89" s="77">
        <f t="shared" si="28"/>
        <v>3.9999999999999978</v>
      </c>
      <c r="R89" s="38"/>
      <c r="S89" s="38"/>
    </row>
    <row r="90" spans="2:19" x14ac:dyDescent="0.25">
      <c r="B90" s="38"/>
      <c r="C90" s="38" t="s">
        <v>101</v>
      </c>
      <c r="D90" s="38" t="s">
        <v>262</v>
      </c>
      <c r="E90" s="99">
        <v>32.022187504261986</v>
      </c>
      <c r="F90" s="99">
        <v>31.521491000000001</v>
      </c>
      <c r="G90" s="38">
        <v>4</v>
      </c>
      <c r="H90" s="39">
        <f t="shared" si="29"/>
        <v>5.1235500006819175</v>
      </c>
      <c r="I90" s="39"/>
      <c r="J90" s="38">
        <f>SUMIF('KIRIM ANTAR UNIT'!B:B,'SETTING PRODUKSI SEPTEMBER AU'!C90,'KIRIM ANTAR UNIT'!E:E)</f>
        <v>0</v>
      </c>
      <c r="K90" s="38">
        <f>SUMIF('KIRIM ANTAR UNIT'!B:B,'SETTING PRODUKSI SEPTEMBER AU'!C90,'KIRIM ANTAR UNIT'!F:F)</f>
        <v>0</v>
      </c>
      <c r="L90" s="40">
        <f t="shared" si="26"/>
        <v>5.6242465049439021</v>
      </c>
      <c r="M90" s="40">
        <f t="shared" si="27"/>
        <v>0.22496986019775608</v>
      </c>
      <c r="N90" s="41">
        <v>0.9</v>
      </c>
      <c r="O90" s="77">
        <f t="shared" si="30"/>
        <v>249.96651133084009</v>
      </c>
      <c r="P90" s="42">
        <f t="shared" si="31"/>
        <v>5.1235500006819166</v>
      </c>
      <c r="Q90" s="77">
        <f t="shared" si="28"/>
        <v>3.9999999999999991</v>
      </c>
      <c r="R90" s="38"/>
      <c r="S90" s="38"/>
    </row>
    <row r="91" spans="2:19" x14ac:dyDescent="0.25">
      <c r="B91" s="38"/>
      <c r="C91" s="38" t="s">
        <v>44</v>
      </c>
      <c r="D91" s="38" t="s">
        <v>45</v>
      </c>
      <c r="E91" s="99">
        <v>20.265231750202805</v>
      </c>
      <c r="F91" s="99">
        <v>10.002600000000001</v>
      </c>
      <c r="G91" s="38">
        <v>10</v>
      </c>
      <c r="H91" s="39">
        <f t="shared" si="29"/>
        <v>8.1060927000811223</v>
      </c>
      <c r="I91" s="39"/>
      <c r="J91" s="38">
        <f>SUMIF('KIRIM ANTAR UNIT'!B:B,'SETTING PRODUKSI SEPTEMBER AU'!C91,'KIRIM ANTAR UNIT'!E:E)</f>
        <v>0</v>
      </c>
      <c r="K91" s="38">
        <f>SUMIF('KIRIM ANTAR UNIT'!B:B,'SETTING PRODUKSI SEPTEMBER AU'!C91,'KIRIM ANTAR UNIT'!F:F)</f>
        <v>30</v>
      </c>
      <c r="L91" s="40">
        <f t="shared" si="26"/>
        <v>48.368724450283928</v>
      </c>
      <c r="M91" s="40">
        <f t="shared" si="27"/>
        <v>1.9347489780113571</v>
      </c>
      <c r="N91" s="41">
        <v>1</v>
      </c>
      <c r="O91" s="77">
        <f t="shared" si="30"/>
        <v>1934.7489780113572</v>
      </c>
      <c r="P91" s="42">
        <f t="shared" si="31"/>
        <v>8.106092700081124</v>
      </c>
      <c r="Q91" s="77">
        <f t="shared" si="28"/>
        <v>10.000000000000002</v>
      </c>
      <c r="R91" s="38"/>
      <c r="S91" s="38"/>
    </row>
    <row r="92" spans="2:19" x14ac:dyDescent="0.25">
      <c r="B92" s="38"/>
      <c r="C92" s="38" t="s">
        <v>50</v>
      </c>
      <c r="D92" s="38" t="s">
        <v>51</v>
      </c>
      <c r="E92" s="99">
        <v>6.8634000000000001E-2</v>
      </c>
      <c r="F92" s="99">
        <v>5.0000000000000001E-3</v>
      </c>
      <c r="G92" s="38">
        <v>10</v>
      </c>
      <c r="H92" s="39">
        <f t="shared" si="29"/>
        <v>2.7453600000000002E-2</v>
      </c>
      <c r="I92" s="39"/>
      <c r="J92" s="38">
        <f>SUMIF('KIRIM ANTAR UNIT'!B:B,'SETTING PRODUKSI SEPTEMBER AU'!C92,'KIRIM ANTAR UNIT'!E:E)</f>
        <v>0</v>
      </c>
      <c r="K92" s="38">
        <f>SUMIF('KIRIM ANTAR UNIT'!B:B,'SETTING PRODUKSI SEPTEMBER AU'!C92,'KIRIM ANTAR UNIT'!F:F)</f>
        <v>0</v>
      </c>
      <c r="L92" s="40">
        <f t="shared" si="26"/>
        <v>9.1087599999999991E-2</v>
      </c>
      <c r="M92" s="40">
        <f t="shared" si="27"/>
        <v>3.6435039999999997E-3</v>
      </c>
      <c r="N92" s="41">
        <v>1</v>
      </c>
      <c r="O92" s="77">
        <f t="shared" si="30"/>
        <v>3.6435039999999996</v>
      </c>
      <c r="P92" s="42">
        <f t="shared" si="31"/>
        <v>2.7453599999999995E-2</v>
      </c>
      <c r="Q92" s="77">
        <f t="shared" si="28"/>
        <v>9.9999999999999982</v>
      </c>
      <c r="R92" s="38"/>
      <c r="S92" s="38"/>
    </row>
    <row r="93" spans="2:19" x14ac:dyDescent="0.25">
      <c r="B93" s="38"/>
      <c r="C93" s="38" t="s">
        <v>48</v>
      </c>
      <c r="D93" s="38" t="s">
        <v>49</v>
      </c>
      <c r="E93" s="99">
        <v>3.2897589495190638</v>
      </c>
      <c r="F93" s="99">
        <v>8.3023399999999992</v>
      </c>
      <c r="G93" s="38">
        <v>10</v>
      </c>
      <c r="H93" s="39">
        <f t="shared" si="29"/>
        <v>1.3159035798076255</v>
      </c>
      <c r="I93" s="39"/>
      <c r="J93" s="38">
        <f>SUMIF('KIRIM ANTAR UNIT'!B:B,'SETTING PRODUKSI SEPTEMBER AU'!C93,'KIRIM ANTAR UNIT'!E:E)</f>
        <v>0</v>
      </c>
      <c r="K93" s="38">
        <f>SUMIF('KIRIM ANTAR UNIT'!B:B,'SETTING PRODUKSI SEPTEMBER AU'!C93,'KIRIM ANTAR UNIT'!F:F)</f>
        <v>0</v>
      </c>
      <c r="L93" s="40">
        <f t="shared" si="26"/>
        <v>0</v>
      </c>
      <c r="M93" s="40">
        <f t="shared" si="27"/>
        <v>0</v>
      </c>
      <c r="N93" s="41">
        <v>1.1000000000000001</v>
      </c>
      <c r="O93" s="77">
        <f t="shared" si="30"/>
        <v>0</v>
      </c>
      <c r="P93" s="42">
        <f t="shared" si="31"/>
        <v>5.0125810504809358</v>
      </c>
      <c r="Q93" s="77">
        <f t="shared" si="28"/>
        <v>38.092312593402433</v>
      </c>
      <c r="R93" s="38"/>
      <c r="S93" s="38"/>
    </row>
    <row r="94" spans="2:19" x14ac:dyDescent="0.25">
      <c r="B94" s="38"/>
      <c r="C94" s="38" t="s">
        <v>46</v>
      </c>
      <c r="D94" s="38" t="s">
        <v>47</v>
      </c>
      <c r="E94" s="99">
        <v>6.8372276786842523</v>
      </c>
      <c r="F94" s="99">
        <v>5.2775499999999997</v>
      </c>
      <c r="G94" s="38">
        <v>10</v>
      </c>
      <c r="H94" s="39">
        <f t="shared" si="29"/>
        <v>2.7348910714737009</v>
      </c>
      <c r="I94" s="39"/>
      <c r="J94" s="38">
        <f>SUMIF('KIRIM ANTAR UNIT'!B:B,'SETTING PRODUKSI SEPTEMBER AU'!C94,'KIRIM ANTAR UNIT'!E:E)</f>
        <v>0</v>
      </c>
      <c r="K94" s="38">
        <f>SUMIF('KIRIM ANTAR UNIT'!B:B,'SETTING PRODUKSI SEPTEMBER AU'!C94,'KIRIM ANTAR UNIT'!F:F)</f>
        <v>0</v>
      </c>
      <c r="L94" s="40">
        <f t="shared" si="26"/>
        <v>4.2945687501579535</v>
      </c>
      <c r="M94" s="40">
        <f t="shared" si="27"/>
        <v>0.17178275000631815</v>
      </c>
      <c r="N94" s="41">
        <v>1.2</v>
      </c>
      <c r="O94" s="77">
        <f t="shared" si="30"/>
        <v>143.15229167193178</v>
      </c>
      <c r="P94" s="42">
        <f t="shared" si="31"/>
        <v>2.7348910714737009</v>
      </c>
      <c r="Q94" s="77">
        <f t="shared" si="28"/>
        <v>10</v>
      </c>
      <c r="R94" s="38"/>
      <c r="S94" s="38"/>
    </row>
    <row r="95" spans="2:19" x14ac:dyDescent="0.25">
      <c r="B95" s="38"/>
      <c r="C95" s="38" t="s">
        <v>99</v>
      </c>
      <c r="D95" s="38" t="s">
        <v>100</v>
      </c>
      <c r="E95" s="99">
        <v>18.939529890164625</v>
      </c>
      <c r="F95" s="99">
        <v>6.0030200000000002</v>
      </c>
      <c r="G95" s="38">
        <v>10</v>
      </c>
      <c r="H95" s="39">
        <f t="shared" si="29"/>
        <v>7.5758119560658503</v>
      </c>
      <c r="I95" s="39"/>
      <c r="J95" s="38">
        <f>SUMIF('KIRIM ANTAR UNIT'!B:B,'SETTING PRODUKSI SEPTEMBER AU'!C95,'KIRIM ANTAR UNIT'!E:E)</f>
        <v>0</v>
      </c>
      <c r="K95" s="38">
        <f>SUMIF('KIRIM ANTAR UNIT'!B:B,'SETTING PRODUKSI SEPTEMBER AU'!C95,'KIRIM ANTAR UNIT'!F:F)</f>
        <v>20</v>
      </c>
      <c r="L95" s="40">
        <f t="shared" si="26"/>
        <v>40.512321846230478</v>
      </c>
      <c r="M95" s="40">
        <f t="shared" si="27"/>
        <v>1.620492873849219</v>
      </c>
      <c r="N95" s="41">
        <v>1.3</v>
      </c>
      <c r="O95" s="77">
        <f t="shared" si="30"/>
        <v>1246.5329798840146</v>
      </c>
      <c r="P95" s="42">
        <f t="shared" si="31"/>
        <v>7.5758119560658521</v>
      </c>
      <c r="Q95" s="77">
        <f t="shared" si="28"/>
        <v>10.000000000000004</v>
      </c>
      <c r="R95" s="38"/>
      <c r="S95" s="38"/>
    </row>
    <row r="96" spans="2:19" x14ac:dyDescent="0.25">
      <c r="B96" s="38"/>
      <c r="C96" s="38" t="s">
        <v>97</v>
      </c>
      <c r="D96" s="38" t="s">
        <v>98</v>
      </c>
      <c r="E96" s="99">
        <v>1.841159694976469</v>
      </c>
      <c r="F96" s="99">
        <v>5.07552</v>
      </c>
      <c r="G96" s="38">
        <v>10</v>
      </c>
      <c r="H96" s="39">
        <f t="shared" si="29"/>
        <v>0.73646387799058755</v>
      </c>
      <c r="I96" s="39"/>
      <c r="J96" s="38">
        <f>SUMIF('KIRIM ANTAR UNIT'!B:B,'SETTING PRODUKSI SEPTEMBER AU'!C96,'KIRIM ANTAR UNIT'!E:E)</f>
        <v>0</v>
      </c>
      <c r="K96" s="38">
        <f>SUMIF('KIRIM ANTAR UNIT'!B:B,'SETTING PRODUKSI SEPTEMBER AU'!C96,'KIRIM ANTAR UNIT'!F:F)</f>
        <v>0</v>
      </c>
      <c r="L96" s="40">
        <f t="shared" si="26"/>
        <v>0</v>
      </c>
      <c r="M96" s="40">
        <f t="shared" si="27"/>
        <v>0</v>
      </c>
      <c r="N96" s="41">
        <v>1.3</v>
      </c>
      <c r="O96" s="77">
        <f t="shared" si="30"/>
        <v>0</v>
      </c>
      <c r="P96" s="42">
        <f t="shared" si="31"/>
        <v>3.234360305023531</v>
      </c>
      <c r="Q96" s="77">
        <f t="shared" si="28"/>
        <v>43.91743304299397</v>
      </c>
      <c r="R96" s="38"/>
      <c r="S96" s="38"/>
    </row>
    <row r="97" spans="2:22" x14ac:dyDescent="0.25">
      <c r="B97" s="38"/>
      <c r="C97" s="38" t="s">
        <v>263</v>
      </c>
      <c r="D97" s="38" t="s">
        <v>264</v>
      </c>
      <c r="E97" s="99">
        <v>4.5831302781893504</v>
      </c>
      <c r="F97" s="99">
        <v>32.676983999999997</v>
      </c>
      <c r="G97" s="38">
        <v>10</v>
      </c>
      <c r="H97" s="39">
        <f t="shared" si="29"/>
        <v>1.8332521112757403</v>
      </c>
      <c r="I97" s="39"/>
      <c r="J97" s="38">
        <f>SUMIF('KIRIM ANTAR UNIT'!B:B,'SETTING PRODUKSI SEPTEMBER AU'!C97,'KIRIM ANTAR UNIT'!E:E)</f>
        <v>0</v>
      </c>
      <c r="K97" s="38">
        <f>SUMIF('KIRIM ANTAR UNIT'!B:B,'SETTING PRODUKSI SEPTEMBER AU'!C97,'KIRIM ANTAR UNIT'!F:F)</f>
        <v>0</v>
      </c>
      <c r="L97" s="40">
        <f t="shared" si="26"/>
        <v>0</v>
      </c>
      <c r="M97" s="40">
        <f t="shared" si="27"/>
        <v>0</v>
      </c>
      <c r="N97" s="41">
        <v>1.4</v>
      </c>
      <c r="O97" s="77">
        <f t="shared" si="30"/>
        <v>0</v>
      </c>
      <c r="P97" s="42">
        <f t="shared" si="31"/>
        <v>28.093853721810646</v>
      </c>
      <c r="Q97" s="77">
        <f t="shared" si="28"/>
        <v>153.24599136700536</v>
      </c>
      <c r="R97" s="38"/>
      <c r="S97" s="38"/>
    </row>
    <row r="98" spans="2:22" x14ac:dyDescent="0.25">
      <c r="B98" s="38"/>
      <c r="C98" s="38" t="s">
        <v>265</v>
      </c>
      <c r="D98" s="38" t="s">
        <v>102</v>
      </c>
      <c r="E98" s="99">
        <v>0.85319215823648464</v>
      </c>
      <c r="F98" s="99">
        <v>0</v>
      </c>
      <c r="G98" s="38">
        <v>10</v>
      </c>
      <c r="H98" s="39">
        <f t="shared" si="29"/>
        <v>0.34127686329459389</v>
      </c>
      <c r="I98" s="39"/>
      <c r="J98" s="38">
        <f>SUMIF('KIRIM ANTAR UNIT'!B:B,'SETTING PRODUKSI SEPTEMBER AU'!C98,'KIRIM ANTAR UNIT'!E:E)</f>
        <v>0</v>
      </c>
      <c r="K98" s="38">
        <f>SUMIF('KIRIM ANTAR UNIT'!B:B,'SETTING PRODUKSI SEPTEMBER AU'!C98,'KIRIM ANTAR UNIT'!F:F)</f>
        <v>0</v>
      </c>
      <c r="L98" s="40">
        <f t="shared" si="26"/>
        <v>1.1944690215310785</v>
      </c>
      <c r="M98" s="40">
        <f t="shared" si="27"/>
        <v>4.7778760861243136E-2</v>
      </c>
      <c r="N98" s="41">
        <v>1.4</v>
      </c>
      <c r="O98" s="77">
        <f t="shared" si="30"/>
        <v>34.127686329459387</v>
      </c>
      <c r="P98" s="42">
        <f t="shared" si="31"/>
        <v>0.34127686329459384</v>
      </c>
      <c r="Q98" s="77">
        <f t="shared" si="28"/>
        <v>9.9999999999999982</v>
      </c>
      <c r="R98" s="38"/>
      <c r="S98" s="38"/>
    </row>
    <row r="99" spans="2:22" x14ac:dyDescent="0.25">
      <c r="B99" s="38"/>
      <c r="C99" s="38" t="s">
        <v>266</v>
      </c>
      <c r="D99" s="38" t="s">
        <v>267</v>
      </c>
      <c r="E99" s="99">
        <v>6.8919302746065618</v>
      </c>
      <c r="F99" s="99">
        <v>14.81391</v>
      </c>
      <c r="G99" s="38">
        <v>10</v>
      </c>
      <c r="H99" s="39">
        <f t="shared" si="29"/>
        <v>2.7567721098426246</v>
      </c>
      <c r="I99" s="39"/>
      <c r="J99" s="38">
        <f>SUMIF('KIRIM ANTAR UNIT'!B:B,'SETTING PRODUKSI SEPTEMBER AU'!C99,'KIRIM ANTAR UNIT'!E:E)</f>
        <v>0</v>
      </c>
      <c r="K99" s="38">
        <f>SUMIF('KIRIM ANTAR UNIT'!B:B,'SETTING PRODUKSI SEPTEMBER AU'!C99,'KIRIM ANTAR UNIT'!F:F)</f>
        <v>0</v>
      </c>
      <c r="L99" s="40">
        <f t="shared" si="26"/>
        <v>0</v>
      </c>
      <c r="M99" s="40">
        <f t="shared" si="27"/>
        <v>0</v>
      </c>
      <c r="N99" s="41">
        <v>1.5</v>
      </c>
      <c r="O99" s="77">
        <f t="shared" si="30"/>
        <v>0</v>
      </c>
      <c r="P99" s="42">
        <f t="shared" si="31"/>
        <v>7.9219797253934381</v>
      </c>
      <c r="Q99" s="77">
        <f>P99/(E99/$E$8)</f>
        <v>28.736433080954519</v>
      </c>
      <c r="R99" s="38"/>
      <c r="S99" s="38"/>
    </row>
    <row r="100" spans="2:22" x14ac:dyDescent="0.25">
      <c r="B100" s="38"/>
      <c r="C100" s="38" t="s">
        <v>103</v>
      </c>
      <c r="D100" s="38" t="s">
        <v>104</v>
      </c>
      <c r="E100" s="99">
        <v>0.26077757439999999</v>
      </c>
      <c r="F100" s="99">
        <v>2.0074800000000002</v>
      </c>
      <c r="G100" s="38">
        <v>10</v>
      </c>
      <c r="H100" s="39">
        <f t="shared" si="29"/>
        <v>0.10431102975999999</v>
      </c>
      <c r="I100" s="39"/>
      <c r="J100" s="38">
        <f>SUMIF('KIRIM ANTAR UNIT'!B:B,'SETTING PRODUKSI SEPTEMBER AU'!C100,'KIRIM ANTAR UNIT'!E:E)</f>
        <v>0</v>
      </c>
      <c r="K100" s="38">
        <f>SUMIF('KIRIM ANTAR UNIT'!B:B,'SETTING PRODUKSI SEPTEMBER AU'!C100,'KIRIM ANTAR UNIT'!F:F)</f>
        <v>0</v>
      </c>
      <c r="L100" s="40">
        <f t="shared" si="26"/>
        <v>0</v>
      </c>
      <c r="M100" s="40">
        <f t="shared" si="27"/>
        <v>0</v>
      </c>
      <c r="N100" s="41">
        <v>1.5</v>
      </c>
      <c r="O100" s="77">
        <f t="shared" si="30"/>
        <v>0</v>
      </c>
      <c r="P100" s="42">
        <f t="shared" si="31"/>
        <v>1.7467024256000001</v>
      </c>
      <c r="Q100" s="77">
        <f t="shared" ref="Q100:Q102" si="32">P100/(E100/$E$8)</f>
        <v>167.45136440689282</v>
      </c>
      <c r="R100" s="38"/>
      <c r="S100" s="38"/>
    </row>
    <row r="101" spans="2:22" x14ac:dyDescent="0.25">
      <c r="B101" s="38"/>
      <c r="C101" s="38" t="s">
        <v>95</v>
      </c>
      <c r="D101" s="38" t="s">
        <v>96</v>
      </c>
      <c r="E101" s="99">
        <v>0.46450933759999996</v>
      </c>
      <c r="F101" s="99">
        <v>29.329730000000005</v>
      </c>
      <c r="G101" s="38">
        <v>10</v>
      </c>
      <c r="H101" s="39">
        <f t="shared" si="29"/>
        <v>0.18580373503999997</v>
      </c>
      <c r="I101" s="39"/>
      <c r="J101" s="38">
        <f>SUMIF('KIRIM ANTAR UNIT'!B:B,'SETTING PRODUKSI SEPTEMBER AU'!C101,'KIRIM ANTAR UNIT'!E:E)</f>
        <v>0</v>
      </c>
      <c r="K101" s="38">
        <f>SUMIF('KIRIM ANTAR UNIT'!B:B,'SETTING PRODUKSI SEPTEMBER AU'!C101,'KIRIM ANTAR UNIT'!F:F)</f>
        <v>0</v>
      </c>
      <c r="L101" s="40">
        <f t="shared" si="26"/>
        <v>0</v>
      </c>
      <c r="M101" s="40">
        <f t="shared" si="27"/>
        <v>0</v>
      </c>
      <c r="N101" s="41">
        <v>1.6</v>
      </c>
      <c r="O101" s="77">
        <f t="shared" si="30"/>
        <v>0</v>
      </c>
      <c r="P101" s="42">
        <f t="shared" si="31"/>
        <v>28.865220662400006</v>
      </c>
      <c r="Q101" s="77">
        <f t="shared" si="32"/>
        <v>1553.5328531574394</v>
      </c>
      <c r="R101" s="38"/>
      <c r="S101" s="38"/>
    </row>
    <row r="102" spans="2:22" x14ac:dyDescent="0.25">
      <c r="B102" s="38"/>
      <c r="C102" s="38" t="s">
        <v>268</v>
      </c>
      <c r="D102" s="38" t="s">
        <v>269</v>
      </c>
      <c r="E102" s="99">
        <v>3.7516751999999993E-2</v>
      </c>
      <c r="F102" s="99">
        <v>0.58896000000000004</v>
      </c>
      <c r="G102" s="38">
        <v>10</v>
      </c>
      <c r="H102" s="39">
        <f t="shared" si="29"/>
        <v>1.5006700799999996E-2</v>
      </c>
      <c r="I102" s="39"/>
      <c r="J102" s="38">
        <f>SUMIF('KIRIM ANTAR UNIT'!B:B,'SETTING PRODUKSI SEPTEMBER AU'!C102,'KIRIM ANTAR UNIT'!E:E)</f>
        <v>0</v>
      </c>
      <c r="K102" s="38">
        <f>SUMIF('KIRIM ANTAR UNIT'!B:B,'SETTING PRODUKSI SEPTEMBER AU'!C102,'KIRIM ANTAR UNIT'!F:F)</f>
        <v>0</v>
      </c>
      <c r="L102" s="40">
        <f t="shared" si="26"/>
        <v>0</v>
      </c>
      <c r="M102" s="40">
        <f t="shared" si="27"/>
        <v>0</v>
      </c>
      <c r="N102" s="41">
        <v>2</v>
      </c>
      <c r="O102" s="77">
        <f t="shared" si="30"/>
        <v>0</v>
      </c>
      <c r="P102" s="42">
        <f t="shared" si="31"/>
        <v>0.551443248</v>
      </c>
      <c r="Q102" s="77">
        <f t="shared" si="32"/>
        <v>367.46467817896399</v>
      </c>
      <c r="R102" s="38"/>
      <c r="S102" s="38"/>
    </row>
    <row r="103" spans="2:22" x14ac:dyDescent="0.25">
      <c r="B103" s="38"/>
      <c r="C103" s="38"/>
      <c r="D103" s="38"/>
      <c r="E103" s="39"/>
      <c r="F103" s="42"/>
      <c r="G103" s="38"/>
      <c r="H103" s="39"/>
      <c r="I103" s="39"/>
      <c r="J103" s="38"/>
      <c r="K103" s="38"/>
      <c r="L103" s="40"/>
      <c r="M103" s="40"/>
      <c r="N103" s="38"/>
      <c r="O103" s="77"/>
      <c r="P103" s="42"/>
      <c r="Q103" s="77"/>
      <c r="R103" s="38"/>
      <c r="S103" s="38"/>
    </row>
    <row r="104" spans="2:22" x14ac:dyDescent="0.25">
      <c r="B104" s="38"/>
      <c r="C104" s="38"/>
      <c r="D104" s="38"/>
      <c r="E104" s="39"/>
      <c r="F104" s="42"/>
      <c r="G104" s="38"/>
      <c r="H104" s="39"/>
      <c r="I104" s="39"/>
      <c r="J104" s="38"/>
      <c r="K104" s="38"/>
      <c r="L104" s="40"/>
      <c r="M104" s="40"/>
      <c r="N104" s="38"/>
      <c r="O104" s="77"/>
      <c r="P104" s="42"/>
      <c r="Q104" s="77"/>
      <c r="R104" s="38"/>
      <c r="S104" s="38"/>
    </row>
    <row r="105" spans="2:22" x14ac:dyDescent="0.25">
      <c r="B105" s="38"/>
      <c r="C105" s="38"/>
      <c r="D105" s="38"/>
      <c r="E105" s="39"/>
      <c r="F105" s="42"/>
      <c r="G105" s="38"/>
      <c r="H105" s="39"/>
      <c r="I105" s="39"/>
      <c r="J105" s="38"/>
      <c r="K105" s="38"/>
      <c r="L105" s="40"/>
      <c r="M105" s="40"/>
      <c r="N105" s="38"/>
      <c r="O105" s="77"/>
      <c r="P105" s="42"/>
      <c r="Q105" s="77"/>
      <c r="R105" s="38"/>
      <c r="S105" s="38"/>
    </row>
    <row r="106" spans="2:22" x14ac:dyDescent="0.25">
      <c r="B106" s="38"/>
      <c r="C106" s="38"/>
      <c r="D106" s="38"/>
      <c r="E106" s="39"/>
      <c r="F106" s="42"/>
      <c r="G106" s="38"/>
      <c r="H106" s="39"/>
      <c r="I106" s="39"/>
      <c r="J106" s="38"/>
      <c r="K106" s="38"/>
      <c r="L106" s="40"/>
      <c r="M106" s="40"/>
      <c r="N106" s="38"/>
      <c r="O106" s="77"/>
      <c r="P106" s="42"/>
      <c r="Q106" s="77"/>
      <c r="R106" s="38"/>
      <c r="S106" s="38"/>
    </row>
    <row r="107" spans="2:22" x14ac:dyDescent="0.25">
      <c r="B107" s="38"/>
      <c r="C107" s="38"/>
      <c r="D107" s="58" t="s">
        <v>122</v>
      </c>
      <c r="E107" s="59">
        <f>SUM(E84:E106)</f>
        <v>192.49219585907167</v>
      </c>
      <c r="F107" s="59">
        <f>SUM(F84:F106)</f>
        <v>185.47844699999999</v>
      </c>
      <c r="G107" s="58"/>
      <c r="H107" s="59">
        <f>SUM(H84:H106)</f>
        <v>46.238574938710563</v>
      </c>
      <c r="I107" s="59"/>
      <c r="J107" s="59">
        <f t="shared" ref="J107:O107" si="33">SUM(J84:J106)</f>
        <v>0</v>
      </c>
      <c r="K107" s="59">
        <f t="shared" si="33"/>
        <v>50</v>
      </c>
      <c r="L107" s="59">
        <f t="shared" si="33"/>
        <v>171.73095179197421</v>
      </c>
      <c r="M107" s="59">
        <f t="shared" si="33"/>
        <v>6.8692380716789678</v>
      </c>
      <c r="N107" s="59">
        <f t="shared" si="33"/>
        <v>21.000000000000004</v>
      </c>
      <c r="O107" s="78">
        <f t="shared" si="33"/>
        <v>7618.5947110824382</v>
      </c>
      <c r="P107" s="59"/>
      <c r="Q107" s="78"/>
      <c r="R107" s="59"/>
      <c r="S107" s="38"/>
      <c r="V107" s="72"/>
    </row>
    <row r="108" spans="2:22" x14ac:dyDescent="0.25">
      <c r="B108" s="52"/>
      <c r="C108" s="52" t="s">
        <v>121</v>
      </c>
      <c r="D108" s="53"/>
      <c r="E108" s="53"/>
      <c r="F108" s="53"/>
      <c r="G108" s="53"/>
      <c r="H108" s="54"/>
      <c r="I108" s="54"/>
      <c r="J108" s="53"/>
      <c r="K108" s="53"/>
      <c r="L108" s="53"/>
      <c r="M108" s="53"/>
      <c r="N108" s="53"/>
      <c r="O108" s="80"/>
      <c r="P108" s="53"/>
      <c r="Q108" s="80"/>
      <c r="R108" s="44"/>
      <c r="S108" s="38"/>
    </row>
    <row r="109" spans="2:22" x14ac:dyDescent="0.25">
      <c r="B109" s="38" t="s">
        <v>106</v>
      </c>
      <c r="C109" s="38" t="s">
        <v>270</v>
      </c>
      <c r="D109" s="38" t="s">
        <v>271</v>
      </c>
      <c r="E109" s="39">
        <v>1.509948E-2</v>
      </c>
      <c r="F109" s="99">
        <v>0</v>
      </c>
      <c r="G109" s="47">
        <v>7</v>
      </c>
      <c r="H109" s="48">
        <f t="shared" ref="H109:H136" si="34">(E109/$E$8)*G109</f>
        <v>4.2278543999999998E-3</v>
      </c>
      <c r="I109" s="48"/>
      <c r="J109" s="38">
        <f>SUMIF('KIRIM ANTAR UNIT'!B:B,'SETTING PRODUKSI SEPTEMBER AU'!C109,'KIRIM ANTAR UNIT'!E:E)</f>
        <v>0</v>
      </c>
      <c r="K109" s="38">
        <f>SUMIF('KIRIM ANTAR UNIT'!B:B,'SETTING PRODUKSI SEPTEMBER AU'!C109,'KIRIM ANTAR UNIT'!F:F)</f>
        <v>0</v>
      </c>
      <c r="L109" s="40">
        <f t="shared" ref="L109:L136" si="35">IF(((E109-F109)+(H109)-(J109)+(K109))&lt;0,0,((E109-F109)+(H109)-(J109)+(K109)))</f>
        <v>1.93273344E-2</v>
      </c>
      <c r="M109" s="187">
        <f>IF(L109&lt;0,0,L109/$E$9)/R109</f>
        <v>8.5899263999999998E-4</v>
      </c>
      <c r="N109" s="47">
        <v>1.6</v>
      </c>
      <c r="O109" s="77">
        <f t="shared" ref="O109:O136" si="36">IF(B109=$V$36,M109*1000/SUMIF($W$36:$W$44,$V$36,$X$36:$X$44)/N109,0)</f>
        <v>2.1648000000000001</v>
      </c>
      <c r="P109" s="42">
        <f t="shared" ref="P109:P150" si="37">L109+F109+J109-K109-E109</f>
        <v>4.2278543999999998E-3</v>
      </c>
      <c r="Q109" s="77">
        <f t="shared" ref="Q109" si="38">P109/(E109/$E$8)</f>
        <v>7</v>
      </c>
      <c r="R109" s="93">
        <v>0.9</v>
      </c>
      <c r="S109" s="188"/>
      <c r="V109" s="72"/>
    </row>
    <row r="110" spans="2:22" x14ac:dyDescent="0.25">
      <c r="B110" s="38" t="s">
        <v>106</v>
      </c>
      <c r="C110" s="38" t="s">
        <v>111</v>
      </c>
      <c r="D110" s="38" t="s">
        <v>112</v>
      </c>
      <c r="E110" s="39">
        <v>0.11143416240000002</v>
      </c>
      <c r="F110" s="99">
        <v>4.0060000000000005E-2</v>
      </c>
      <c r="G110" s="47">
        <v>7</v>
      </c>
      <c r="H110" s="48">
        <f t="shared" si="34"/>
        <v>3.1201565472000002E-2</v>
      </c>
      <c r="I110" s="48"/>
      <c r="J110" s="38">
        <f>SUMIF('KIRIM ANTAR UNIT'!B:B,'SETTING PRODUKSI SEPTEMBER AU'!C110,'KIRIM ANTAR UNIT'!E:E)</f>
        <v>0</v>
      </c>
      <c r="K110" s="38">
        <f>SUMIF('KIRIM ANTAR UNIT'!B:B,'SETTING PRODUKSI SEPTEMBER AU'!C110,'KIRIM ANTAR UNIT'!F:F)</f>
        <v>0</v>
      </c>
      <c r="L110" s="40">
        <f t="shared" si="35"/>
        <v>0.10257572787200003</v>
      </c>
      <c r="M110" s="187">
        <f t="shared" ref="M110:M136" si="39">IF(L110&lt;0,0,L110/$E$9)/R110</f>
        <v>8.0100611295926792E-3</v>
      </c>
      <c r="N110" s="47">
        <v>1.6</v>
      </c>
      <c r="O110" s="77">
        <f t="shared" si="36"/>
        <v>20.186645991917036</v>
      </c>
      <c r="P110" s="42">
        <f t="shared" si="37"/>
        <v>3.1201565472000023E-2</v>
      </c>
      <c r="Q110" s="77">
        <f t="shared" si="28"/>
        <v>7.0000000000000044</v>
      </c>
      <c r="R110" s="93">
        <v>0.51223443223443232</v>
      </c>
      <c r="S110" s="188">
        <f t="shared" ref="S110:S136" si="40">(100%-R110)*M110</f>
        <v>3.9070320147126776E-3</v>
      </c>
    </row>
    <row r="111" spans="2:22" x14ac:dyDescent="0.25">
      <c r="B111" s="38" t="s">
        <v>125</v>
      </c>
      <c r="C111" s="38" t="s">
        <v>272</v>
      </c>
      <c r="D111" s="38" t="s">
        <v>273</v>
      </c>
      <c r="E111" s="39">
        <v>3.9492066199261213</v>
      </c>
      <c r="F111" s="99">
        <v>9.1384499999999989</v>
      </c>
      <c r="G111" s="47">
        <v>7</v>
      </c>
      <c r="H111" s="48">
        <f t="shared" si="34"/>
        <v>1.1057778535793139</v>
      </c>
      <c r="I111" s="48"/>
      <c r="J111" s="38">
        <f>SUMIF('KIRIM ANTAR UNIT'!B:B,'SETTING PRODUKSI SEPTEMBER AU'!C111,'KIRIM ANTAR UNIT'!E:E)</f>
        <v>0</v>
      </c>
      <c r="K111" s="38">
        <f>SUMIF('KIRIM ANTAR UNIT'!B:B,'SETTING PRODUKSI SEPTEMBER AU'!C111,'KIRIM ANTAR UNIT'!F:F)</f>
        <v>0</v>
      </c>
      <c r="L111" s="40">
        <f t="shared" si="35"/>
        <v>0</v>
      </c>
      <c r="M111" s="187">
        <f t="shared" si="39"/>
        <v>0</v>
      </c>
      <c r="N111" s="47">
        <v>1.6</v>
      </c>
      <c r="O111" s="77">
        <f t="shared" si="36"/>
        <v>0</v>
      </c>
      <c r="P111" s="42">
        <f t="shared" si="37"/>
        <v>5.1892433800738775</v>
      </c>
      <c r="Q111" s="77">
        <f t="shared" si="28"/>
        <v>32.849910624396209</v>
      </c>
      <c r="R111" s="93">
        <v>0.88</v>
      </c>
      <c r="S111" s="188">
        <f t="shared" si="40"/>
        <v>0</v>
      </c>
    </row>
    <row r="112" spans="2:22" x14ac:dyDescent="0.25">
      <c r="B112" s="38" t="s">
        <v>125</v>
      </c>
      <c r="C112" s="38" t="s">
        <v>274</v>
      </c>
      <c r="D112" s="38" t="s">
        <v>275</v>
      </c>
      <c r="E112" s="39">
        <v>0.30755600000000005</v>
      </c>
      <c r="F112" s="99">
        <v>0.17344000000000001</v>
      </c>
      <c r="G112" s="47">
        <v>7</v>
      </c>
      <c r="H112" s="48">
        <f t="shared" si="34"/>
        <v>8.6115680000000014E-2</v>
      </c>
      <c r="I112" s="48"/>
      <c r="J112" s="38">
        <f>SUMIF('KIRIM ANTAR UNIT'!B:B,'SETTING PRODUKSI SEPTEMBER AU'!C112,'KIRIM ANTAR UNIT'!E:E)</f>
        <v>0</v>
      </c>
      <c r="K112" s="38">
        <f>SUMIF('KIRIM ANTAR UNIT'!B:B,'SETTING PRODUKSI SEPTEMBER AU'!C112,'KIRIM ANTAR UNIT'!F:F)</f>
        <v>0</v>
      </c>
      <c r="L112" s="40">
        <f t="shared" si="35"/>
        <v>0.22023168000000004</v>
      </c>
      <c r="M112" s="187">
        <f t="shared" si="39"/>
        <v>2.3182282105263161E-2</v>
      </c>
      <c r="N112" s="47">
        <v>1.6</v>
      </c>
      <c r="O112" s="77">
        <f t="shared" si="36"/>
        <v>0</v>
      </c>
      <c r="P112" s="42">
        <f t="shared" si="37"/>
        <v>8.6115680000000028E-2</v>
      </c>
      <c r="Q112" s="77">
        <f t="shared" si="28"/>
        <v>7.0000000000000009</v>
      </c>
      <c r="R112" s="93">
        <v>0.38</v>
      </c>
      <c r="S112" s="188">
        <f t="shared" si="40"/>
        <v>1.437301490526316E-2</v>
      </c>
    </row>
    <row r="113" spans="2:19" x14ac:dyDescent="0.25">
      <c r="B113" s="38" t="s">
        <v>125</v>
      </c>
      <c r="C113" s="38" t="s">
        <v>276</v>
      </c>
      <c r="D113" s="38" t="s">
        <v>277</v>
      </c>
      <c r="E113" s="39">
        <v>0.20065836239999996</v>
      </c>
      <c r="F113" s="99">
        <v>6.0380000000000003E-2</v>
      </c>
      <c r="G113" s="47">
        <v>7</v>
      </c>
      <c r="H113" s="48">
        <f t="shared" si="34"/>
        <v>5.618434147199998E-2</v>
      </c>
      <c r="I113" s="48"/>
      <c r="J113" s="38">
        <f>SUMIF('KIRIM ANTAR UNIT'!B:B,'SETTING PRODUKSI SEPTEMBER AU'!C113,'KIRIM ANTAR UNIT'!E:E)</f>
        <v>0</v>
      </c>
      <c r="K113" s="38">
        <f>SUMIF('KIRIM ANTAR UNIT'!B:B,'SETTING PRODUKSI SEPTEMBER AU'!C113,'KIRIM ANTAR UNIT'!F:F)</f>
        <v>0</v>
      </c>
      <c r="L113" s="40">
        <f t="shared" si="35"/>
        <v>0.19646270387199993</v>
      </c>
      <c r="M113" s="187">
        <f t="shared" si="39"/>
        <v>2.0680284618105258E-2</v>
      </c>
      <c r="N113" s="47">
        <v>1.6</v>
      </c>
      <c r="O113" s="77">
        <f t="shared" si="36"/>
        <v>0</v>
      </c>
      <c r="P113" s="42">
        <f t="shared" si="37"/>
        <v>5.6184341471999966E-2</v>
      </c>
      <c r="Q113" s="77">
        <f t="shared" si="28"/>
        <v>6.9999999999999982</v>
      </c>
      <c r="R113" s="93">
        <v>0.38</v>
      </c>
      <c r="S113" s="188">
        <f t="shared" si="40"/>
        <v>1.282177646322526E-2</v>
      </c>
    </row>
    <row r="114" spans="2:19" x14ac:dyDescent="0.25">
      <c r="B114" s="38" t="s">
        <v>106</v>
      </c>
      <c r="C114" s="38" t="s">
        <v>105</v>
      </c>
      <c r="D114" s="38" t="s">
        <v>106</v>
      </c>
      <c r="E114" s="39">
        <v>31.42023119917863</v>
      </c>
      <c r="F114" s="99">
        <v>21.310710000000007</v>
      </c>
      <c r="G114" s="47">
        <v>7</v>
      </c>
      <c r="H114" s="48">
        <f t="shared" si="34"/>
        <v>8.7976647357700166</v>
      </c>
      <c r="I114" s="48"/>
      <c r="J114" s="38">
        <f>SUMIF('KIRIM ANTAR UNIT'!B:B,'SETTING PRODUKSI SEPTEMBER AU'!C114,'KIRIM ANTAR UNIT'!E:E)</f>
        <v>0</v>
      </c>
      <c r="K114" s="38">
        <f>SUMIF('KIRIM ANTAR UNIT'!B:B,'SETTING PRODUKSI SEPTEMBER AU'!C114,'KIRIM ANTAR UNIT'!F:F)</f>
        <v>0</v>
      </c>
      <c r="L114" s="40">
        <f t="shared" si="35"/>
        <v>18.90718593494864</v>
      </c>
      <c r="M114" s="187">
        <f t="shared" si="39"/>
        <v>0.75628743739794557</v>
      </c>
      <c r="N114" s="47">
        <v>1.6</v>
      </c>
      <c r="O114" s="77">
        <f t="shared" si="36"/>
        <v>1905.9663240875643</v>
      </c>
      <c r="P114" s="42">
        <f t="shared" si="37"/>
        <v>8.7976647357700131</v>
      </c>
      <c r="Q114" s="77">
        <f t="shared" si="28"/>
        <v>6.9999999999999982</v>
      </c>
      <c r="R114" s="93">
        <v>1</v>
      </c>
      <c r="S114" s="188">
        <f t="shared" si="40"/>
        <v>0</v>
      </c>
    </row>
    <row r="115" spans="2:19" x14ac:dyDescent="0.25">
      <c r="B115" s="38" t="s">
        <v>106</v>
      </c>
      <c r="C115" s="38" t="s">
        <v>278</v>
      </c>
      <c r="D115" s="38" t="s">
        <v>279</v>
      </c>
      <c r="E115" s="39">
        <v>7.6978383364671749E-2</v>
      </c>
      <c r="F115" s="99">
        <v>0</v>
      </c>
      <c r="G115" s="47">
        <v>7</v>
      </c>
      <c r="H115" s="48">
        <f t="shared" si="34"/>
        <v>2.1553947342108092E-2</v>
      </c>
      <c r="I115" s="48"/>
      <c r="J115" s="38">
        <f>SUMIF('KIRIM ANTAR UNIT'!B:B,'SETTING PRODUKSI SEPTEMBER AU'!C115,'KIRIM ANTAR UNIT'!E:E)</f>
        <v>0</v>
      </c>
      <c r="K115" s="38">
        <f>SUMIF('KIRIM ANTAR UNIT'!B:B,'SETTING PRODUKSI SEPTEMBER AU'!C115,'KIRIM ANTAR UNIT'!F:F)</f>
        <v>0</v>
      </c>
      <c r="L115" s="40">
        <f t="shared" si="35"/>
        <v>9.8532330706779844E-2</v>
      </c>
      <c r="M115" s="187">
        <f t="shared" si="39"/>
        <v>3.9412932282711938E-3</v>
      </c>
      <c r="N115" s="47">
        <v>1.6</v>
      </c>
      <c r="O115" s="77">
        <f t="shared" si="36"/>
        <v>9.9326946276995809</v>
      </c>
      <c r="P115" s="42">
        <f t="shared" si="37"/>
        <v>2.1553947342108096E-2</v>
      </c>
      <c r="Q115" s="77">
        <f t="shared" si="28"/>
        <v>7.0000000000000018</v>
      </c>
      <c r="R115" s="93">
        <v>1</v>
      </c>
      <c r="S115" s="188">
        <f t="shared" si="40"/>
        <v>0</v>
      </c>
    </row>
    <row r="116" spans="2:19" x14ac:dyDescent="0.25">
      <c r="B116" s="38" t="s">
        <v>106</v>
      </c>
      <c r="C116" s="38" t="s">
        <v>115</v>
      </c>
      <c r="D116" s="38" t="s">
        <v>116</v>
      </c>
      <c r="E116" s="39">
        <v>0.51820956799999995</v>
      </c>
      <c r="F116" s="99">
        <v>0</v>
      </c>
      <c r="G116" s="47">
        <v>7</v>
      </c>
      <c r="H116" s="48">
        <f t="shared" si="34"/>
        <v>0.14509867903999998</v>
      </c>
      <c r="I116" s="48"/>
      <c r="J116" s="38">
        <f>SUMIF('KIRIM ANTAR UNIT'!B:B,'SETTING PRODUKSI SEPTEMBER AU'!C116,'KIRIM ANTAR UNIT'!E:E)</f>
        <v>0</v>
      </c>
      <c r="K116" s="38">
        <f>SUMIF('KIRIM ANTAR UNIT'!B:B,'SETTING PRODUKSI SEPTEMBER AU'!C116,'KIRIM ANTAR UNIT'!F:F)</f>
        <v>0</v>
      </c>
      <c r="L116" s="40">
        <f t="shared" si="35"/>
        <v>0.66330824703999991</v>
      </c>
      <c r="M116" s="187">
        <f t="shared" si="39"/>
        <v>2.6532329881599995E-2</v>
      </c>
      <c r="N116" s="47">
        <v>1.6</v>
      </c>
      <c r="O116" s="77">
        <f t="shared" si="36"/>
        <v>66.8657507096774</v>
      </c>
      <c r="P116" s="42">
        <f t="shared" si="37"/>
        <v>0.14509867903999996</v>
      </c>
      <c r="Q116" s="77">
        <f t="shared" si="28"/>
        <v>6.9999999999999991</v>
      </c>
      <c r="R116" s="93">
        <v>1</v>
      </c>
      <c r="S116" s="188">
        <f t="shared" si="40"/>
        <v>0</v>
      </c>
    </row>
    <row r="117" spans="2:19" x14ac:dyDescent="0.25">
      <c r="B117" s="38" t="s">
        <v>106</v>
      </c>
      <c r="C117" s="38" t="s">
        <v>107</v>
      </c>
      <c r="D117" s="38" t="s">
        <v>108</v>
      </c>
      <c r="E117" s="39">
        <v>0.35410800000000003</v>
      </c>
      <c r="F117" s="99">
        <v>0.28004000000000001</v>
      </c>
      <c r="G117" s="47">
        <v>7</v>
      </c>
      <c r="H117" s="48">
        <f t="shared" si="34"/>
        <v>9.9150240000000001E-2</v>
      </c>
      <c r="I117" s="48"/>
      <c r="J117" s="38">
        <f>SUMIF('KIRIM ANTAR UNIT'!B:B,'SETTING PRODUKSI SEPTEMBER AU'!C117,'KIRIM ANTAR UNIT'!E:E)</f>
        <v>0</v>
      </c>
      <c r="K117" s="38">
        <f>SUMIF('KIRIM ANTAR UNIT'!B:B,'SETTING PRODUKSI SEPTEMBER AU'!C117,'KIRIM ANTAR UNIT'!F:F)</f>
        <v>0</v>
      </c>
      <c r="L117" s="40">
        <f t="shared" si="35"/>
        <v>0.17321824000000002</v>
      </c>
      <c r="M117" s="187">
        <f t="shared" si="39"/>
        <v>1.5062455652173914E-2</v>
      </c>
      <c r="N117" s="47">
        <v>1.6</v>
      </c>
      <c r="O117" s="77">
        <f t="shared" si="36"/>
        <v>37.959817671809262</v>
      </c>
      <c r="P117" s="42">
        <f t="shared" si="37"/>
        <v>9.9150240000000001E-2</v>
      </c>
      <c r="Q117" s="77">
        <f t="shared" si="28"/>
        <v>6.9999999999999991</v>
      </c>
      <c r="R117" s="109">
        <v>0.46</v>
      </c>
      <c r="S117" s="188">
        <f t="shared" si="40"/>
        <v>8.1337260521739136E-3</v>
      </c>
    </row>
    <row r="118" spans="2:19" x14ac:dyDescent="0.25">
      <c r="B118" s="38" t="s">
        <v>106</v>
      </c>
      <c r="C118" s="38" t="s">
        <v>280</v>
      </c>
      <c r="D118" s="38" t="s">
        <v>281</v>
      </c>
      <c r="E118" s="39">
        <v>7.4009565524579219</v>
      </c>
      <c r="F118" s="99">
        <v>5.9931200000000011</v>
      </c>
      <c r="G118" s="47">
        <v>7</v>
      </c>
      <c r="H118" s="48">
        <f t="shared" si="34"/>
        <v>2.0722678346882182</v>
      </c>
      <c r="I118" s="48"/>
      <c r="J118" s="38">
        <f>SUMIF('KIRIM ANTAR UNIT'!B:B,'SETTING PRODUKSI SEPTEMBER AU'!C118,'KIRIM ANTAR UNIT'!E:E)</f>
        <v>0</v>
      </c>
      <c r="K118" s="38">
        <f>SUMIF('KIRIM ANTAR UNIT'!B:B,'SETTING PRODUKSI SEPTEMBER AU'!C118,'KIRIM ANTAR UNIT'!F:F)</f>
        <v>0</v>
      </c>
      <c r="L118" s="40">
        <f t="shared" si="35"/>
        <v>3.480104387146139</v>
      </c>
      <c r="M118" s="187">
        <f t="shared" si="39"/>
        <v>0.13920417548584557</v>
      </c>
      <c r="N118" s="47">
        <v>1.6</v>
      </c>
      <c r="O118" s="77">
        <f t="shared" si="36"/>
        <v>350.81697451069954</v>
      </c>
      <c r="P118" s="42">
        <f t="shared" si="37"/>
        <v>2.0722678346882173</v>
      </c>
      <c r="Q118" s="77">
        <f t="shared" si="28"/>
        <v>6.9999999999999973</v>
      </c>
      <c r="R118" s="93">
        <v>1</v>
      </c>
      <c r="S118" s="188">
        <f t="shared" si="40"/>
        <v>0</v>
      </c>
    </row>
    <row r="119" spans="2:19" x14ac:dyDescent="0.25">
      <c r="B119" s="38" t="s">
        <v>125</v>
      </c>
      <c r="C119" s="38" t="s">
        <v>282</v>
      </c>
      <c r="D119" s="38" t="s">
        <v>125</v>
      </c>
      <c r="E119" s="39">
        <v>16.240407410413937</v>
      </c>
      <c r="F119" s="99">
        <v>15.157339999999998</v>
      </c>
      <c r="G119" s="47">
        <v>7</v>
      </c>
      <c r="H119" s="48">
        <f t="shared" si="34"/>
        <v>4.5473140749159029</v>
      </c>
      <c r="I119" s="48"/>
      <c r="J119" s="38">
        <f>SUMIF('KIRIM ANTAR UNIT'!B:B,'SETTING PRODUKSI SEPTEMBER AU'!C119,'KIRIM ANTAR UNIT'!E:E)</f>
        <v>0</v>
      </c>
      <c r="K119" s="38">
        <f>SUMIF('KIRIM ANTAR UNIT'!B:B,'SETTING PRODUKSI SEPTEMBER AU'!C119,'KIRIM ANTAR UNIT'!F:F)</f>
        <v>0</v>
      </c>
      <c r="L119" s="40">
        <f t="shared" si="35"/>
        <v>5.630381485329842</v>
      </c>
      <c r="M119" s="187">
        <f t="shared" si="39"/>
        <v>0.22521525941319367</v>
      </c>
      <c r="N119" s="47">
        <v>1.6</v>
      </c>
      <c r="O119" s="77">
        <f t="shared" si="36"/>
        <v>0</v>
      </c>
      <c r="P119" s="42">
        <f t="shared" si="37"/>
        <v>4.5473140749159029</v>
      </c>
      <c r="Q119" s="77">
        <f t="shared" si="28"/>
        <v>7.0000000000000009</v>
      </c>
      <c r="R119" s="93">
        <v>1</v>
      </c>
      <c r="S119" s="188">
        <f t="shared" si="40"/>
        <v>0</v>
      </c>
    </row>
    <row r="120" spans="2:19" x14ac:dyDescent="0.25">
      <c r="B120" s="38" t="s">
        <v>125</v>
      </c>
      <c r="C120" s="38" t="s">
        <v>283</v>
      </c>
      <c r="D120" s="38" t="s">
        <v>284</v>
      </c>
      <c r="E120" s="39">
        <v>9.9482382059917981E-2</v>
      </c>
      <c r="F120" s="99">
        <v>0</v>
      </c>
      <c r="G120" s="47">
        <v>7</v>
      </c>
      <c r="H120" s="48">
        <f t="shared" si="34"/>
        <v>2.7855066976777039E-2</v>
      </c>
      <c r="I120" s="48"/>
      <c r="J120" s="38">
        <f>SUMIF('KIRIM ANTAR UNIT'!B:B,'SETTING PRODUKSI SEPTEMBER AU'!C120,'KIRIM ANTAR UNIT'!E:E)</f>
        <v>0</v>
      </c>
      <c r="K120" s="38">
        <f>SUMIF('KIRIM ANTAR UNIT'!B:B,'SETTING PRODUKSI SEPTEMBER AU'!C120,'KIRIM ANTAR UNIT'!F:F)</f>
        <v>0</v>
      </c>
      <c r="L120" s="40">
        <f t="shared" si="35"/>
        <v>0.12733744903669503</v>
      </c>
      <c r="M120" s="187">
        <f t="shared" si="39"/>
        <v>5.093497961467801E-3</v>
      </c>
      <c r="N120" s="47">
        <v>1.6</v>
      </c>
      <c r="O120" s="77">
        <f t="shared" si="36"/>
        <v>0</v>
      </c>
      <c r="P120" s="42">
        <f t="shared" si="37"/>
        <v>2.7855066976777046E-2</v>
      </c>
      <c r="Q120" s="77">
        <f t="shared" si="28"/>
        <v>7.0000000000000018</v>
      </c>
      <c r="R120" s="93">
        <v>1</v>
      </c>
      <c r="S120" s="188">
        <f t="shared" si="40"/>
        <v>0</v>
      </c>
    </row>
    <row r="121" spans="2:19" x14ac:dyDescent="0.25">
      <c r="B121" s="38" t="s">
        <v>106</v>
      </c>
      <c r="C121" s="38" t="s">
        <v>109</v>
      </c>
      <c r="D121" s="38" t="s">
        <v>110</v>
      </c>
      <c r="E121" s="39">
        <v>9.0527999999999997E-3</v>
      </c>
      <c r="F121" s="99">
        <v>9.0510000000000007E-2</v>
      </c>
      <c r="G121" s="47">
        <v>7</v>
      </c>
      <c r="H121" s="48">
        <f t="shared" si="34"/>
        <v>2.534784E-3</v>
      </c>
      <c r="I121" s="48"/>
      <c r="J121" s="38">
        <f>SUMIF('KIRIM ANTAR UNIT'!B:B,'SETTING PRODUKSI SEPTEMBER AU'!C121,'KIRIM ANTAR UNIT'!E:E)</f>
        <v>0</v>
      </c>
      <c r="K121" s="38">
        <f>SUMIF('KIRIM ANTAR UNIT'!B:B,'SETTING PRODUKSI SEPTEMBER AU'!C121,'KIRIM ANTAR UNIT'!F:F)</f>
        <v>0</v>
      </c>
      <c r="L121" s="40">
        <f t="shared" si="35"/>
        <v>0</v>
      </c>
      <c r="M121" s="187">
        <f t="shared" si="39"/>
        <v>0</v>
      </c>
      <c r="N121" s="47">
        <v>1.6</v>
      </c>
      <c r="O121" s="77">
        <f t="shared" si="36"/>
        <v>0</v>
      </c>
      <c r="P121" s="42">
        <f t="shared" si="37"/>
        <v>8.1457200000000007E-2</v>
      </c>
      <c r="Q121" s="77">
        <f t="shared" si="28"/>
        <v>224.95029162248147</v>
      </c>
      <c r="R121" s="93">
        <v>0.49</v>
      </c>
      <c r="S121" s="188">
        <f t="shared" si="40"/>
        <v>0</v>
      </c>
    </row>
    <row r="122" spans="2:19" x14ac:dyDescent="0.25">
      <c r="B122" s="38" t="s">
        <v>329</v>
      </c>
      <c r="C122" s="38" t="s">
        <v>285</v>
      </c>
      <c r="D122" s="38" t="s">
        <v>286</v>
      </c>
      <c r="E122" s="39">
        <v>8.39805624E-2</v>
      </c>
      <c r="F122" s="99">
        <v>1.77E-2</v>
      </c>
      <c r="G122" s="47">
        <v>7</v>
      </c>
      <c r="H122" s="48">
        <f t="shared" si="34"/>
        <v>2.3514557472E-2</v>
      </c>
      <c r="I122" s="48"/>
      <c r="J122" s="38">
        <f>SUMIF('KIRIM ANTAR UNIT'!B:B,'SETTING PRODUKSI SEPTEMBER AU'!C122,'KIRIM ANTAR UNIT'!E:E)</f>
        <v>0</v>
      </c>
      <c r="K122" s="38">
        <f>SUMIF('KIRIM ANTAR UNIT'!B:B,'SETTING PRODUKSI SEPTEMBER AU'!C122,'KIRIM ANTAR UNIT'!F:F)</f>
        <v>0</v>
      </c>
      <c r="L122" s="40">
        <f t="shared" si="35"/>
        <v>8.9795119871999993E-2</v>
      </c>
      <c r="M122" s="187">
        <f t="shared" si="39"/>
        <v>3.5918047948799996E-3</v>
      </c>
      <c r="N122" s="47">
        <v>1.6</v>
      </c>
      <c r="O122" s="77">
        <f t="shared" si="36"/>
        <v>0</v>
      </c>
      <c r="P122" s="42">
        <f t="shared" si="37"/>
        <v>2.3514557472E-2</v>
      </c>
      <c r="Q122" s="77">
        <f t="shared" si="28"/>
        <v>7</v>
      </c>
      <c r="R122" s="93">
        <v>1</v>
      </c>
      <c r="S122" s="188">
        <f t="shared" si="40"/>
        <v>0</v>
      </c>
    </row>
    <row r="123" spans="2:19" x14ac:dyDescent="0.25">
      <c r="B123" s="38" t="s">
        <v>329</v>
      </c>
      <c r="C123" s="38" t="s">
        <v>287</v>
      </c>
      <c r="D123" s="38" t="s">
        <v>288</v>
      </c>
      <c r="E123" s="39">
        <v>8.6094489600000004E-2</v>
      </c>
      <c r="F123" s="99">
        <v>0.58879999999999999</v>
      </c>
      <c r="G123" s="47">
        <v>7</v>
      </c>
      <c r="H123" s="48">
        <f t="shared" si="34"/>
        <v>2.4106457088000001E-2</v>
      </c>
      <c r="I123" s="48"/>
      <c r="J123" s="38">
        <f>SUMIF('KIRIM ANTAR UNIT'!B:B,'SETTING PRODUKSI SEPTEMBER AU'!C123,'KIRIM ANTAR UNIT'!E:E)</f>
        <v>0</v>
      </c>
      <c r="K123" s="38">
        <f>SUMIF('KIRIM ANTAR UNIT'!B:B,'SETTING PRODUKSI SEPTEMBER AU'!C123,'KIRIM ANTAR UNIT'!F:F)</f>
        <v>0</v>
      </c>
      <c r="L123" s="40">
        <f t="shared" si="35"/>
        <v>0</v>
      </c>
      <c r="M123" s="187">
        <f t="shared" si="39"/>
        <v>0</v>
      </c>
      <c r="N123" s="47">
        <v>1.6</v>
      </c>
      <c r="O123" s="77">
        <f t="shared" si="36"/>
        <v>0</v>
      </c>
      <c r="P123" s="42">
        <f t="shared" si="37"/>
        <v>0.5027055104</v>
      </c>
      <c r="Q123" s="77">
        <f t="shared" si="28"/>
        <v>145.97493775025526</v>
      </c>
      <c r="R123" s="93">
        <v>1</v>
      </c>
      <c r="S123" s="188">
        <f t="shared" si="40"/>
        <v>0</v>
      </c>
    </row>
    <row r="124" spans="2:19" x14ac:dyDescent="0.25">
      <c r="B124" s="38" t="s">
        <v>290</v>
      </c>
      <c r="C124" s="38" t="s">
        <v>289</v>
      </c>
      <c r="D124" s="38" t="s">
        <v>290</v>
      </c>
      <c r="E124" s="39">
        <v>0.97314080000000014</v>
      </c>
      <c r="F124" s="99">
        <v>0.15286</v>
      </c>
      <c r="G124" s="47">
        <v>7</v>
      </c>
      <c r="H124" s="48">
        <f t="shared" si="34"/>
        <v>0.27247942400000008</v>
      </c>
      <c r="I124" s="48"/>
      <c r="J124" s="38">
        <f>SUMIF('KIRIM ANTAR UNIT'!B:B,'SETTING PRODUKSI SEPTEMBER AU'!C124,'KIRIM ANTAR UNIT'!E:E)</f>
        <v>0</v>
      </c>
      <c r="K124" s="38">
        <f>SUMIF('KIRIM ANTAR UNIT'!B:B,'SETTING PRODUKSI SEPTEMBER AU'!C124,'KIRIM ANTAR UNIT'!F:F)</f>
        <v>0</v>
      </c>
      <c r="L124" s="40">
        <f t="shared" si="35"/>
        <v>1.0927602240000003</v>
      </c>
      <c r="M124" s="187">
        <f t="shared" si="39"/>
        <v>4.3710408960000009E-2</v>
      </c>
      <c r="N124" s="47">
        <v>1.6</v>
      </c>
      <c r="O124" s="77">
        <f t="shared" si="36"/>
        <v>0</v>
      </c>
      <c r="P124" s="42">
        <f t="shared" si="37"/>
        <v>0.27247942400000014</v>
      </c>
      <c r="Q124" s="77">
        <f t="shared" si="28"/>
        <v>7.0000000000000018</v>
      </c>
      <c r="R124" s="93">
        <v>1</v>
      </c>
      <c r="S124" s="188">
        <f t="shared" si="40"/>
        <v>0</v>
      </c>
    </row>
    <row r="125" spans="2:19" x14ac:dyDescent="0.25">
      <c r="B125" s="38" t="s">
        <v>106</v>
      </c>
      <c r="C125" s="38" t="s">
        <v>113</v>
      </c>
      <c r="D125" s="38" t="s">
        <v>114</v>
      </c>
      <c r="E125" s="39">
        <v>0.19470093119999998</v>
      </c>
      <c r="F125" s="99">
        <v>0.10134</v>
      </c>
      <c r="G125" s="47">
        <v>7</v>
      </c>
      <c r="H125" s="48">
        <f t="shared" si="34"/>
        <v>5.4516260735999994E-2</v>
      </c>
      <c r="I125" s="48"/>
      <c r="J125" s="38">
        <f>SUMIF('KIRIM ANTAR UNIT'!B:B,'SETTING PRODUKSI SEPTEMBER AU'!C125,'KIRIM ANTAR UNIT'!E:E)</f>
        <v>0</v>
      </c>
      <c r="K125" s="38">
        <f>SUMIF('KIRIM ANTAR UNIT'!B:B,'SETTING PRODUKSI SEPTEMBER AU'!C125,'KIRIM ANTAR UNIT'!F:F)</f>
        <v>0</v>
      </c>
      <c r="L125" s="40">
        <f t="shared" si="35"/>
        <v>0.14787719193599996</v>
      </c>
      <c r="M125" s="187">
        <f t="shared" si="39"/>
        <v>1.2071607504979589E-2</v>
      </c>
      <c r="N125" s="47">
        <v>1.6</v>
      </c>
      <c r="O125" s="77">
        <f t="shared" si="36"/>
        <v>30.42239794601711</v>
      </c>
      <c r="P125" s="42">
        <f t="shared" si="37"/>
        <v>5.4516260735999966E-2</v>
      </c>
      <c r="Q125" s="77">
        <f t="shared" si="28"/>
        <v>6.9999999999999964</v>
      </c>
      <c r="R125" s="93">
        <v>0.49</v>
      </c>
      <c r="S125" s="188">
        <f t="shared" si="40"/>
        <v>6.1565198275395907E-3</v>
      </c>
    </row>
    <row r="126" spans="2:19" x14ac:dyDescent="0.25">
      <c r="B126" s="38" t="s">
        <v>129</v>
      </c>
      <c r="C126" s="38" t="s">
        <v>291</v>
      </c>
      <c r="D126" s="38" t="s">
        <v>292</v>
      </c>
      <c r="E126" s="39">
        <v>4.1399999999999999E-2</v>
      </c>
      <c r="F126" s="99">
        <v>0</v>
      </c>
      <c r="G126" s="47">
        <v>7</v>
      </c>
      <c r="H126" s="48">
        <f t="shared" si="34"/>
        <v>1.1592E-2</v>
      </c>
      <c r="I126" s="48"/>
      <c r="J126" s="38">
        <f>SUMIF('KIRIM ANTAR UNIT'!B:B,'SETTING PRODUKSI SEPTEMBER AU'!C126,'KIRIM ANTAR UNIT'!E:E)</f>
        <v>0</v>
      </c>
      <c r="K126" s="38">
        <f>SUMIF('KIRIM ANTAR UNIT'!B:B,'SETTING PRODUKSI SEPTEMBER AU'!C126,'KIRIM ANTAR UNIT'!F:F)</f>
        <v>0</v>
      </c>
      <c r="L126" s="40">
        <f t="shared" si="35"/>
        <v>5.2991999999999997E-2</v>
      </c>
      <c r="M126" s="187">
        <f t="shared" si="39"/>
        <v>4.2393600000000002E-3</v>
      </c>
      <c r="N126" s="47">
        <v>1.6</v>
      </c>
      <c r="O126" s="77">
        <f t="shared" si="36"/>
        <v>0</v>
      </c>
      <c r="P126" s="42">
        <f t="shared" si="37"/>
        <v>1.1591999999999998E-2</v>
      </c>
      <c r="Q126" s="77">
        <f t="shared" si="28"/>
        <v>6.9999999999999991</v>
      </c>
      <c r="R126" s="93">
        <v>0.5</v>
      </c>
      <c r="S126" s="188">
        <f t="shared" si="40"/>
        <v>2.1196800000000001E-3</v>
      </c>
    </row>
    <row r="127" spans="2:19" x14ac:dyDescent="0.25">
      <c r="B127" s="38" t="s">
        <v>125</v>
      </c>
      <c r="C127" s="38" t="s">
        <v>293</v>
      </c>
      <c r="D127" s="38" t="s">
        <v>294</v>
      </c>
      <c r="E127" s="39">
        <v>6.8593442658038439</v>
      </c>
      <c r="F127" s="99">
        <v>1.1466699999999999</v>
      </c>
      <c r="G127" s="47">
        <v>7</v>
      </c>
      <c r="H127" s="48">
        <f t="shared" si="34"/>
        <v>1.920616394425076</v>
      </c>
      <c r="I127" s="48"/>
      <c r="J127" s="38">
        <f>SUMIF('KIRIM ANTAR UNIT'!B:B,'SETTING PRODUKSI SEPTEMBER AU'!C127,'KIRIM ANTAR UNIT'!E:E)</f>
        <v>0</v>
      </c>
      <c r="K127" s="38">
        <f>SUMIF('KIRIM ANTAR UNIT'!B:B,'SETTING PRODUKSI SEPTEMBER AU'!C127,'KIRIM ANTAR UNIT'!F:F)</f>
        <v>0</v>
      </c>
      <c r="L127" s="40">
        <f t="shared" si="35"/>
        <v>7.633290660228921</v>
      </c>
      <c r="M127" s="187">
        <f t="shared" si="39"/>
        <v>0.30533162640915684</v>
      </c>
      <c r="N127" s="47">
        <v>1.6</v>
      </c>
      <c r="O127" s="77">
        <f t="shared" si="36"/>
        <v>0</v>
      </c>
      <c r="P127" s="42">
        <f t="shared" si="37"/>
        <v>1.9206163944250774</v>
      </c>
      <c r="Q127" s="77">
        <f t="shared" si="28"/>
        <v>7.0000000000000044</v>
      </c>
      <c r="R127" s="93">
        <v>1</v>
      </c>
      <c r="S127" s="188">
        <f t="shared" si="40"/>
        <v>0</v>
      </c>
    </row>
    <row r="128" spans="2:19" x14ac:dyDescent="0.25">
      <c r="B128" s="38" t="s">
        <v>129</v>
      </c>
      <c r="C128" s="38" t="s">
        <v>295</v>
      </c>
      <c r="D128" s="38" t="s">
        <v>296</v>
      </c>
      <c r="E128" s="39">
        <v>0.17111999999999999</v>
      </c>
      <c r="F128" s="99">
        <v>0</v>
      </c>
      <c r="G128" s="47">
        <v>7</v>
      </c>
      <c r="H128" s="48">
        <f t="shared" si="34"/>
        <v>4.7913600000000001E-2</v>
      </c>
      <c r="I128" s="48"/>
      <c r="J128" s="38">
        <f>SUMIF('KIRIM ANTAR UNIT'!B:B,'SETTING PRODUKSI SEPTEMBER AU'!C128,'KIRIM ANTAR UNIT'!E:E)</f>
        <v>0</v>
      </c>
      <c r="K128" s="38">
        <f>SUMIF('KIRIM ANTAR UNIT'!B:B,'SETTING PRODUKSI SEPTEMBER AU'!C128,'KIRIM ANTAR UNIT'!F:F)</f>
        <v>0</v>
      </c>
      <c r="L128" s="40">
        <f t="shared" si="35"/>
        <v>0.21903359999999999</v>
      </c>
      <c r="M128" s="187">
        <f t="shared" si="39"/>
        <v>1.9046399999999998E-2</v>
      </c>
      <c r="N128" s="47">
        <v>1.6</v>
      </c>
      <c r="O128" s="77">
        <f t="shared" si="36"/>
        <v>0</v>
      </c>
      <c r="P128" s="42">
        <f t="shared" si="37"/>
        <v>4.7913600000000001E-2</v>
      </c>
      <c r="Q128" s="77">
        <f t="shared" si="28"/>
        <v>7</v>
      </c>
      <c r="R128" s="93">
        <v>0.46</v>
      </c>
      <c r="S128" s="188">
        <f t="shared" si="40"/>
        <v>1.0285055999999999E-2</v>
      </c>
    </row>
    <row r="129" spans="2:19" x14ac:dyDescent="0.25">
      <c r="B129" s="38" t="s">
        <v>129</v>
      </c>
      <c r="C129" s="38" t="s">
        <v>302</v>
      </c>
      <c r="D129" s="38" t="s">
        <v>303</v>
      </c>
      <c r="E129" s="39">
        <v>10.499070692081808</v>
      </c>
      <c r="F129" s="99">
        <v>10.172829999999999</v>
      </c>
      <c r="G129" s="47">
        <v>7</v>
      </c>
      <c r="H129" s="48">
        <f t="shared" si="34"/>
        <v>2.9397397937829064</v>
      </c>
      <c r="I129" s="48"/>
      <c r="J129" s="38">
        <f>SUMIF('KIRIM ANTAR UNIT'!B:B,'SETTING PRODUKSI SEPTEMBER AU'!C129,'KIRIM ANTAR UNIT'!E:E)</f>
        <v>0</v>
      </c>
      <c r="K129" s="38">
        <f>SUMIF('KIRIM ANTAR UNIT'!B:B,'SETTING PRODUKSI SEPTEMBER AU'!C129,'KIRIM ANTAR UNIT'!F:F)</f>
        <v>0</v>
      </c>
      <c r="L129" s="40">
        <f t="shared" si="35"/>
        <v>3.2659804858647155</v>
      </c>
      <c r="M129" s="187">
        <f t="shared" si="39"/>
        <v>0.13063921943458862</v>
      </c>
      <c r="N129" s="47">
        <v>1.6</v>
      </c>
      <c r="O129" s="77">
        <f t="shared" si="36"/>
        <v>0</v>
      </c>
      <c r="P129" s="42">
        <f t="shared" si="37"/>
        <v>2.9397397937829055</v>
      </c>
      <c r="Q129" s="77">
        <f t="shared" si="28"/>
        <v>6.9999999999999982</v>
      </c>
      <c r="R129" s="93">
        <v>1</v>
      </c>
      <c r="S129" s="188">
        <f t="shared" si="40"/>
        <v>0</v>
      </c>
    </row>
    <row r="130" spans="2:19" x14ac:dyDescent="0.25">
      <c r="B130" s="38" t="s">
        <v>129</v>
      </c>
      <c r="C130" s="38" t="s">
        <v>304</v>
      </c>
      <c r="D130" s="38" t="s">
        <v>305</v>
      </c>
      <c r="E130" s="39">
        <v>0.14457065759999999</v>
      </c>
      <c r="F130" s="99">
        <v>6.0149999999999995E-2</v>
      </c>
      <c r="G130" s="47">
        <v>7</v>
      </c>
      <c r="H130" s="48">
        <f t="shared" si="34"/>
        <v>4.0479784127999997E-2</v>
      </c>
      <c r="I130" s="48"/>
      <c r="J130" s="38">
        <f>SUMIF('KIRIM ANTAR UNIT'!B:B,'SETTING PRODUKSI SEPTEMBER AU'!C130,'KIRIM ANTAR UNIT'!E:E)</f>
        <v>0</v>
      </c>
      <c r="K130" s="38">
        <f>SUMIF('KIRIM ANTAR UNIT'!B:B,'SETTING PRODUKSI SEPTEMBER AU'!C130,'KIRIM ANTAR UNIT'!F:F)</f>
        <v>0</v>
      </c>
      <c r="L130" s="40">
        <f t="shared" si="35"/>
        <v>0.12490044172799999</v>
      </c>
      <c r="M130" s="187">
        <f t="shared" si="39"/>
        <v>4.99601766912E-3</v>
      </c>
      <c r="N130" s="47">
        <v>1.6</v>
      </c>
      <c r="O130" s="77">
        <f t="shared" si="36"/>
        <v>0</v>
      </c>
      <c r="P130" s="42">
        <f t="shared" si="37"/>
        <v>4.0479784128000018E-2</v>
      </c>
      <c r="Q130" s="77">
        <f t="shared" si="28"/>
        <v>7.0000000000000044</v>
      </c>
      <c r="R130" s="93">
        <v>1</v>
      </c>
      <c r="S130" s="188">
        <f t="shared" si="40"/>
        <v>0</v>
      </c>
    </row>
    <row r="131" spans="2:19" x14ac:dyDescent="0.25">
      <c r="B131" s="38" t="s">
        <v>129</v>
      </c>
      <c r="C131" s="38" t="s">
        <v>306</v>
      </c>
      <c r="D131" s="38" t="s">
        <v>307</v>
      </c>
      <c r="E131" s="39">
        <v>0.13800000000000001</v>
      </c>
      <c r="F131" s="99">
        <v>0</v>
      </c>
      <c r="G131" s="47">
        <v>7</v>
      </c>
      <c r="H131" s="48">
        <f t="shared" si="34"/>
        <v>3.8640000000000008E-2</v>
      </c>
      <c r="I131" s="48"/>
      <c r="J131" s="38">
        <f>SUMIF('KIRIM ANTAR UNIT'!B:B,'SETTING PRODUKSI SEPTEMBER AU'!C131,'KIRIM ANTAR UNIT'!E:E)</f>
        <v>0</v>
      </c>
      <c r="K131" s="38">
        <f>SUMIF('KIRIM ANTAR UNIT'!B:B,'SETTING PRODUKSI SEPTEMBER AU'!C131,'KIRIM ANTAR UNIT'!F:F)</f>
        <v>0</v>
      </c>
      <c r="L131" s="40">
        <f t="shared" si="35"/>
        <v>0.17664000000000002</v>
      </c>
      <c r="M131" s="187">
        <f t="shared" si="39"/>
        <v>1.4131200000000002E-2</v>
      </c>
      <c r="N131" s="47">
        <v>1.6</v>
      </c>
      <c r="O131" s="77">
        <f t="shared" si="36"/>
        <v>0</v>
      </c>
      <c r="P131" s="42">
        <f t="shared" si="37"/>
        <v>3.8640000000000008E-2</v>
      </c>
      <c r="Q131" s="77">
        <f t="shared" si="28"/>
        <v>7.0000000000000009</v>
      </c>
      <c r="R131" s="93">
        <v>0.5</v>
      </c>
      <c r="S131" s="188">
        <f t="shared" si="40"/>
        <v>7.0656000000000009E-3</v>
      </c>
    </row>
    <row r="132" spans="2:19" x14ac:dyDescent="0.25">
      <c r="B132" s="38" t="s">
        <v>318</v>
      </c>
      <c r="C132" s="38" t="s">
        <v>317</v>
      </c>
      <c r="D132" s="38" t="s">
        <v>318</v>
      </c>
      <c r="E132" s="39">
        <v>1.0459991270261475</v>
      </c>
      <c r="F132" s="99">
        <v>1.6582680000000001</v>
      </c>
      <c r="G132" s="47">
        <v>7</v>
      </c>
      <c r="H132" s="48">
        <f t="shared" si="34"/>
        <v>0.29287975556732126</v>
      </c>
      <c r="I132" s="48"/>
      <c r="J132" s="38">
        <f>SUMIF('KIRIM ANTAR UNIT'!B:B,'SETTING PRODUKSI SEPTEMBER AU'!C132,'KIRIM ANTAR UNIT'!E:E)</f>
        <v>0</v>
      </c>
      <c r="K132" s="38">
        <f>SUMIF('KIRIM ANTAR UNIT'!B:B,'SETTING PRODUKSI SEPTEMBER AU'!C132,'KIRIM ANTAR UNIT'!F:F)</f>
        <v>0</v>
      </c>
      <c r="L132" s="40">
        <f t="shared" si="35"/>
        <v>0</v>
      </c>
      <c r="M132" s="187">
        <f t="shared" si="39"/>
        <v>0</v>
      </c>
      <c r="N132" s="47">
        <v>1.6</v>
      </c>
      <c r="O132" s="77">
        <f t="shared" si="36"/>
        <v>0</v>
      </c>
      <c r="P132" s="42">
        <f t="shared" si="37"/>
        <v>0.61226887297385257</v>
      </c>
      <c r="Q132" s="77">
        <f t="shared" si="28"/>
        <v>14.633589482875049</v>
      </c>
      <c r="R132" s="93">
        <v>1</v>
      </c>
      <c r="S132" s="188">
        <f t="shared" si="40"/>
        <v>0</v>
      </c>
    </row>
    <row r="133" spans="2:19" x14ac:dyDescent="0.25">
      <c r="B133" s="38" t="s">
        <v>318</v>
      </c>
      <c r="C133" s="38" t="s">
        <v>319</v>
      </c>
      <c r="D133" s="38" t="s">
        <v>320</v>
      </c>
      <c r="E133" s="39">
        <v>0.82207186757851014</v>
      </c>
      <c r="F133" s="99">
        <v>0.15352000000000002</v>
      </c>
      <c r="G133" s="47">
        <v>7</v>
      </c>
      <c r="H133" s="48">
        <f t="shared" si="34"/>
        <v>0.23018012292198284</v>
      </c>
      <c r="I133" s="48"/>
      <c r="J133" s="38">
        <f>SUMIF('KIRIM ANTAR UNIT'!B:B,'SETTING PRODUKSI SEPTEMBER AU'!C133,'KIRIM ANTAR UNIT'!E:E)</f>
        <v>0</v>
      </c>
      <c r="K133" s="38">
        <f>SUMIF('KIRIM ANTAR UNIT'!B:B,'SETTING PRODUKSI SEPTEMBER AU'!C133,'KIRIM ANTAR UNIT'!F:F)</f>
        <v>0</v>
      </c>
      <c r="L133" s="40">
        <f t="shared" si="35"/>
        <v>0.89873199050049302</v>
      </c>
      <c r="M133" s="187">
        <f t="shared" si="39"/>
        <v>3.5949279620019724E-2</v>
      </c>
      <c r="N133" s="47">
        <v>1.6</v>
      </c>
      <c r="O133" s="77">
        <f t="shared" si="36"/>
        <v>0</v>
      </c>
      <c r="P133" s="42">
        <f t="shared" si="37"/>
        <v>0.23018012292198287</v>
      </c>
      <c r="Q133" s="77">
        <f t="shared" si="28"/>
        <v>7.0000000000000009</v>
      </c>
      <c r="R133" s="93">
        <v>1</v>
      </c>
      <c r="S133" s="188">
        <f t="shared" si="40"/>
        <v>0</v>
      </c>
    </row>
    <row r="134" spans="2:19" x14ac:dyDescent="0.25">
      <c r="B134" s="38" t="s">
        <v>323</v>
      </c>
      <c r="C134" s="38" t="s">
        <v>322</v>
      </c>
      <c r="D134" s="38" t="s">
        <v>323</v>
      </c>
      <c r="E134" s="39">
        <v>0.64963040000000016</v>
      </c>
      <c r="F134" s="99">
        <v>0.72516000000000003</v>
      </c>
      <c r="G134" s="47">
        <v>7</v>
      </c>
      <c r="H134" s="48">
        <f t="shared" si="34"/>
        <v>0.18189651200000004</v>
      </c>
      <c r="I134" s="48"/>
      <c r="J134" s="38">
        <f>SUMIF('KIRIM ANTAR UNIT'!B:B,'SETTING PRODUKSI SEPTEMBER AU'!C134,'KIRIM ANTAR UNIT'!E:E)</f>
        <v>0</v>
      </c>
      <c r="K134" s="38">
        <f>SUMIF('KIRIM ANTAR UNIT'!B:B,'SETTING PRODUKSI SEPTEMBER AU'!C134,'KIRIM ANTAR UNIT'!F:F)</f>
        <v>0</v>
      </c>
      <c r="L134" s="40">
        <f t="shared" si="35"/>
        <v>0.10636691200000017</v>
      </c>
      <c r="M134" s="187">
        <f t="shared" si="39"/>
        <v>9.6697192727272889E-3</v>
      </c>
      <c r="N134" s="47">
        <v>1.6</v>
      </c>
      <c r="O134" s="77">
        <f t="shared" si="36"/>
        <v>0</v>
      </c>
      <c r="P134" s="42">
        <f t="shared" si="37"/>
        <v>0.18189651200000001</v>
      </c>
      <c r="Q134" s="77">
        <f t="shared" si="28"/>
        <v>6.9999999999999991</v>
      </c>
      <c r="R134" s="93">
        <v>0.44</v>
      </c>
      <c r="S134" s="188"/>
    </row>
    <row r="135" spans="2:19" x14ac:dyDescent="0.25">
      <c r="B135" s="38" t="s">
        <v>325</v>
      </c>
      <c r="C135" s="38" t="s">
        <v>324</v>
      </c>
      <c r="D135" s="38" t="s">
        <v>325</v>
      </c>
      <c r="E135" s="39">
        <v>1.3406714300543277</v>
      </c>
      <c r="F135" s="99">
        <v>16.527690000000003</v>
      </c>
      <c r="G135" s="47">
        <v>7</v>
      </c>
      <c r="H135" s="48">
        <f t="shared" si="34"/>
        <v>0.37538800041521175</v>
      </c>
      <c r="I135" s="48"/>
      <c r="J135" s="38">
        <f>SUMIF('KIRIM ANTAR UNIT'!B:B,'SETTING PRODUKSI SEPTEMBER AU'!C135,'KIRIM ANTAR UNIT'!E:E)</f>
        <v>0</v>
      </c>
      <c r="K135" s="38">
        <f>SUMIF('KIRIM ANTAR UNIT'!B:B,'SETTING PRODUKSI SEPTEMBER AU'!C135,'KIRIM ANTAR UNIT'!F:F)</f>
        <v>0</v>
      </c>
      <c r="L135" s="40">
        <f t="shared" si="35"/>
        <v>0</v>
      </c>
      <c r="M135" s="187">
        <f t="shared" si="39"/>
        <v>0</v>
      </c>
      <c r="N135" s="47">
        <v>1.6</v>
      </c>
      <c r="O135" s="77">
        <f t="shared" si="36"/>
        <v>0</v>
      </c>
      <c r="P135" s="42">
        <f t="shared" si="37"/>
        <v>15.187018569945675</v>
      </c>
      <c r="Q135" s="77">
        <f t="shared" si="28"/>
        <v>283.19799746404414</v>
      </c>
      <c r="R135" s="93">
        <v>1</v>
      </c>
      <c r="S135" s="188">
        <f t="shared" si="40"/>
        <v>0</v>
      </c>
    </row>
    <row r="136" spans="2:19" x14ac:dyDescent="0.25">
      <c r="B136" s="38" t="s">
        <v>318</v>
      </c>
      <c r="C136" s="38" t="s">
        <v>326</v>
      </c>
      <c r="D136" s="38" t="s">
        <v>327</v>
      </c>
      <c r="E136" s="39">
        <v>0.95999999999999963</v>
      </c>
      <c r="F136" s="99">
        <v>0.58369999999999989</v>
      </c>
      <c r="G136" s="47">
        <v>7</v>
      </c>
      <c r="H136" s="48">
        <f t="shared" si="34"/>
        <v>0.26879999999999987</v>
      </c>
      <c r="I136" s="48"/>
      <c r="J136" s="38">
        <f>SUMIF('KIRIM ANTAR UNIT'!B:B,'SETTING PRODUKSI SEPTEMBER AU'!C136,'KIRIM ANTAR UNIT'!E:E)</f>
        <v>0</v>
      </c>
      <c r="K136" s="38">
        <f>SUMIF('KIRIM ANTAR UNIT'!B:B,'SETTING PRODUKSI SEPTEMBER AU'!C136,'KIRIM ANTAR UNIT'!F:F)</f>
        <v>0</v>
      </c>
      <c r="L136" s="40">
        <f t="shared" si="35"/>
        <v>0.64509999999999956</v>
      </c>
      <c r="M136" s="187">
        <f t="shared" si="39"/>
        <v>2.5803999999999983E-2</v>
      </c>
      <c r="N136" s="47">
        <v>1.6</v>
      </c>
      <c r="O136" s="77">
        <f t="shared" si="36"/>
        <v>0</v>
      </c>
      <c r="P136" s="42">
        <f t="shared" si="37"/>
        <v>0.26879999999999982</v>
      </c>
      <c r="Q136" s="77">
        <f t="shared" si="28"/>
        <v>6.9999999999999982</v>
      </c>
      <c r="R136" s="93">
        <v>1</v>
      </c>
      <c r="S136" s="188">
        <f t="shared" si="40"/>
        <v>0</v>
      </c>
    </row>
    <row r="137" spans="2:19" x14ac:dyDescent="0.25">
      <c r="B137" s="38"/>
      <c r="C137" s="38"/>
      <c r="D137" s="38"/>
      <c r="E137" s="39"/>
      <c r="F137" s="39"/>
      <c r="G137" s="47"/>
      <c r="H137" s="48"/>
      <c r="I137" s="48"/>
      <c r="J137" s="38"/>
      <c r="K137" s="38"/>
      <c r="L137" s="40"/>
      <c r="M137" s="40"/>
      <c r="N137" s="47"/>
      <c r="O137" s="77"/>
      <c r="P137" s="42"/>
      <c r="Q137" s="77"/>
      <c r="R137" s="74"/>
      <c r="S137" s="38"/>
    </row>
    <row r="138" spans="2:19" x14ac:dyDescent="0.25">
      <c r="B138" s="38"/>
      <c r="C138" s="38"/>
      <c r="D138" s="38"/>
      <c r="E138" s="39"/>
      <c r="F138" s="49"/>
      <c r="G138" s="47"/>
      <c r="H138" s="48"/>
      <c r="I138" s="48"/>
      <c r="J138" s="38"/>
      <c r="K138" s="38"/>
      <c r="L138" s="40"/>
      <c r="M138" s="40"/>
      <c r="N138" s="47"/>
      <c r="O138" s="77"/>
      <c r="P138" s="42"/>
      <c r="Q138" s="77"/>
      <c r="R138" s="74"/>
      <c r="S138" s="38"/>
    </row>
    <row r="139" spans="2:19" x14ac:dyDescent="0.25">
      <c r="B139" s="38"/>
      <c r="C139" s="38"/>
      <c r="D139" s="38"/>
      <c r="E139" s="38"/>
      <c r="F139" s="49"/>
      <c r="G139" s="47"/>
      <c r="H139" s="48"/>
      <c r="I139" s="48"/>
      <c r="J139" s="38"/>
      <c r="K139" s="38"/>
      <c r="L139" s="40"/>
      <c r="M139" s="40"/>
      <c r="N139" s="47"/>
      <c r="O139" s="77"/>
      <c r="P139" s="42"/>
      <c r="Q139" s="77"/>
      <c r="R139" s="74"/>
      <c r="S139" s="38"/>
    </row>
    <row r="140" spans="2:19" x14ac:dyDescent="0.25">
      <c r="B140" s="81"/>
      <c r="C140" s="81"/>
      <c r="D140" s="58" t="s">
        <v>122</v>
      </c>
      <c r="E140" s="85">
        <f>SUM(E109:E139)</f>
        <v>84.713176143545866</v>
      </c>
      <c r="F140" s="85">
        <f>SUM(F109:F139)</f>
        <v>84.132738000000003</v>
      </c>
      <c r="G140" s="86"/>
      <c r="H140" s="85">
        <f>SUM(H109:H139)</f>
        <v>23.719689320192835</v>
      </c>
      <c r="I140" s="85"/>
      <c r="J140" s="85">
        <f>SUM(J109:J139)</f>
        <v>0</v>
      </c>
      <c r="K140" s="85">
        <f>SUM(K109:K139)</f>
        <v>0</v>
      </c>
      <c r="L140" s="85">
        <f>SUM(L109:L139)</f>
        <v>44.072134146482227</v>
      </c>
      <c r="M140" s="85">
        <f>SUM(M109:M139)</f>
        <v>1.8332487131789308</v>
      </c>
      <c r="N140" s="85"/>
      <c r="O140" s="85">
        <f>SUM(O109:O139)</f>
        <v>2424.3154055453842</v>
      </c>
      <c r="P140" s="85">
        <f>SUM(P109:P139)</f>
        <v>43.491696002936393</v>
      </c>
      <c r="Q140" s="85"/>
      <c r="R140" s="59"/>
      <c r="S140" s="38"/>
    </row>
    <row r="141" spans="2:19" x14ac:dyDescent="0.25">
      <c r="B141" s="52"/>
      <c r="C141" s="52" t="s">
        <v>130</v>
      </c>
      <c r="D141" s="53"/>
      <c r="E141" s="53"/>
      <c r="F141" s="53"/>
      <c r="G141" s="53"/>
      <c r="H141" s="54"/>
      <c r="I141" s="54"/>
      <c r="J141" s="53"/>
      <c r="K141" s="53"/>
      <c r="L141" s="53"/>
      <c r="M141" s="53"/>
      <c r="N141" s="53"/>
      <c r="O141" s="80"/>
      <c r="P141" s="53"/>
      <c r="Q141" s="80"/>
      <c r="R141" s="44"/>
      <c r="S141" s="38"/>
    </row>
    <row r="142" spans="2:19" x14ac:dyDescent="0.25">
      <c r="B142" s="38" t="s">
        <v>131</v>
      </c>
      <c r="C142" s="38" t="s">
        <v>328</v>
      </c>
      <c r="D142" s="38" t="s">
        <v>131</v>
      </c>
      <c r="E142" s="39">
        <v>2.8042000000000002</v>
      </c>
      <c r="F142" s="99">
        <v>0</v>
      </c>
      <c r="G142" s="47">
        <v>3</v>
      </c>
      <c r="H142" s="48">
        <f t="shared" ref="H142:H150" si="41">(E142/$E$8)*G142</f>
        <v>0.33650400000000003</v>
      </c>
      <c r="I142" s="48"/>
      <c r="J142" s="38">
        <f>SUMIF('KIRIM ANTAR UNIT'!B:B,'SETTING PRODUKSI SEPTEMBER AU'!C142,'KIRIM ANTAR UNIT'!E:E)</f>
        <v>0</v>
      </c>
      <c r="K142" s="38">
        <f>SUMIF('KIRIM ANTAR UNIT'!B:B,'SETTING PRODUKSI SEPTEMBER AU'!C142,'KIRIM ANTAR UNIT'!F:F)</f>
        <v>0</v>
      </c>
      <c r="L142" s="40">
        <f t="shared" ref="L142:L150" si="42">IF(((E142-F142)+(H142)-(J142)+(K142))&lt;0,0,((E142-F142)+(H142)-(J142)+(K142)))</f>
        <v>3.1407040000000004</v>
      </c>
      <c r="M142" s="40">
        <f t="shared" ref="M142:M150" si="43">IF(L142&lt;0,0,L142/$E$9)</f>
        <v>0.12562816000000002</v>
      </c>
      <c r="N142" s="82">
        <v>1.2</v>
      </c>
      <c r="O142" s="77">
        <f t="shared" ref="O142:O150" si="44">IF(B142=$V$48,M142*1000/SUMIF($W$48:$W$56,$V$48,$X$48:$X$56)/N142,0)</f>
        <v>422.13763440860225</v>
      </c>
      <c r="P142" s="42">
        <f t="shared" si="37"/>
        <v>0.33650400000000014</v>
      </c>
      <c r="Q142" s="77">
        <f t="shared" ref="Q142:Q150" si="45">P142/(E142/$E$8)</f>
        <v>3.0000000000000013</v>
      </c>
      <c r="R142" s="93">
        <v>1</v>
      </c>
      <c r="S142" s="38"/>
    </row>
    <row r="143" spans="2:19" x14ac:dyDescent="0.25">
      <c r="B143" s="38" t="s">
        <v>342</v>
      </c>
      <c r="C143" s="38" t="s">
        <v>311</v>
      </c>
      <c r="D143" s="38" t="s">
        <v>312</v>
      </c>
      <c r="E143" s="39">
        <v>0</v>
      </c>
      <c r="F143" s="99">
        <v>0.1739</v>
      </c>
      <c r="G143" s="47">
        <v>3</v>
      </c>
      <c r="H143" s="48">
        <f t="shared" si="41"/>
        <v>0</v>
      </c>
      <c r="I143" s="48"/>
      <c r="J143" s="38">
        <f>SUMIF('KIRIM ANTAR UNIT'!B:B,'SETTING PRODUKSI SEPTEMBER AU'!C143,'KIRIM ANTAR UNIT'!E:E)</f>
        <v>0</v>
      </c>
      <c r="K143" s="38">
        <f>SUMIF('KIRIM ANTAR UNIT'!B:B,'SETTING PRODUKSI SEPTEMBER AU'!C143,'KIRIM ANTAR UNIT'!F:F)</f>
        <v>0</v>
      </c>
      <c r="L143" s="40">
        <f t="shared" si="42"/>
        <v>0</v>
      </c>
      <c r="M143" s="40">
        <f t="shared" si="43"/>
        <v>0</v>
      </c>
      <c r="N143" s="82">
        <v>1.2</v>
      </c>
      <c r="O143" s="77">
        <f t="shared" si="44"/>
        <v>0</v>
      </c>
      <c r="P143" s="42">
        <f t="shared" si="37"/>
        <v>0.1739</v>
      </c>
      <c r="Q143" s="77" t="e">
        <f t="shared" si="45"/>
        <v>#DIV/0!</v>
      </c>
      <c r="R143" s="93">
        <v>1</v>
      </c>
      <c r="S143" s="38"/>
    </row>
    <row r="144" spans="2:19" x14ac:dyDescent="0.25">
      <c r="B144" s="38" t="s">
        <v>342</v>
      </c>
      <c r="C144" s="38" t="s">
        <v>313</v>
      </c>
      <c r="D144" s="38" t="s">
        <v>314</v>
      </c>
      <c r="E144" s="39">
        <v>2.577</v>
      </c>
      <c r="F144" s="99">
        <v>0.48780000000000001</v>
      </c>
      <c r="G144" s="47">
        <v>3</v>
      </c>
      <c r="H144" s="48">
        <f t="shared" si="41"/>
        <v>0.30924000000000001</v>
      </c>
      <c r="I144" s="48"/>
      <c r="J144" s="38">
        <f>SUMIF('KIRIM ANTAR UNIT'!B:B,'SETTING PRODUKSI SEPTEMBER AU'!C144,'KIRIM ANTAR UNIT'!E:E)</f>
        <v>0</v>
      </c>
      <c r="K144" s="38">
        <f>SUMIF('KIRIM ANTAR UNIT'!B:B,'SETTING PRODUKSI SEPTEMBER AU'!C144,'KIRIM ANTAR UNIT'!F:F)</f>
        <v>0</v>
      </c>
      <c r="L144" s="40">
        <f t="shared" si="42"/>
        <v>2.3984399999999999</v>
      </c>
      <c r="M144" s="40">
        <f t="shared" si="43"/>
        <v>9.5937599999999998E-2</v>
      </c>
      <c r="N144" s="82">
        <v>1.2</v>
      </c>
      <c r="O144" s="77">
        <f t="shared" si="44"/>
        <v>0</v>
      </c>
      <c r="P144" s="42">
        <f t="shared" si="37"/>
        <v>0.30923999999999996</v>
      </c>
      <c r="Q144" s="77">
        <f t="shared" si="45"/>
        <v>2.9999999999999996</v>
      </c>
      <c r="R144" s="93">
        <v>0.6</v>
      </c>
      <c r="S144" s="38"/>
    </row>
    <row r="145" spans="2:23" x14ac:dyDescent="0.25">
      <c r="B145" s="38" t="s">
        <v>342</v>
      </c>
      <c r="C145" s="38" t="s">
        <v>315</v>
      </c>
      <c r="D145" s="38" t="s">
        <v>316</v>
      </c>
      <c r="E145" s="39">
        <v>1.3079999999999998</v>
      </c>
      <c r="F145" s="99">
        <v>0.42696000000000001</v>
      </c>
      <c r="G145" s="47">
        <v>3</v>
      </c>
      <c r="H145" s="48">
        <f t="shared" si="41"/>
        <v>0.15695999999999999</v>
      </c>
      <c r="I145" s="48"/>
      <c r="J145" s="38">
        <f>SUMIF('KIRIM ANTAR UNIT'!B:B,'SETTING PRODUKSI SEPTEMBER AU'!C145,'KIRIM ANTAR UNIT'!E:E)</f>
        <v>0</v>
      </c>
      <c r="K145" s="38">
        <f>SUMIF('KIRIM ANTAR UNIT'!B:B,'SETTING PRODUKSI SEPTEMBER AU'!C145,'KIRIM ANTAR UNIT'!F:F)</f>
        <v>0</v>
      </c>
      <c r="L145" s="40">
        <f t="shared" si="42"/>
        <v>1.0379999999999998</v>
      </c>
      <c r="M145" s="40">
        <f t="shared" si="43"/>
        <v>4.1519999999999994E-2</v>
      </c>
      <c r="N145" s="82">
        <v>1.2</v>
      </c>
      <c r="O145" s="77">
        <f t="shared" si="44"/>
        <v>0</v>
      </c>
      <c r="P145" s="42">
        <f t="shared" si="37"/>
        <v>0.15695999999999999</v>
      </c>
      <c r="Q145" s="77">
        <f t="shared" si="45"/>
        <v>3.0000000000000004</v>
      </c>
      <c r="R145" s="93">
        <v>0.4</v>
      </c>
      <c r="S145" s="38"/>
    </row>
    <row r="146" spans="2:23" x14ac:dyDescent="0.25">
      <c r="B146" s="38" t="s">
        <v>342</v>
      </c>
      <c r="C146" s="38" t="s">
        <v>349</v>
      </c>
      <c r="D146" s="38" t="s">
        <v>308</v>
      </c>
      <c r="E146" s="39">
        <v>0.9713176</v>
      </c>
      <c r="F146" s="99">
        <v>0</v>
      </c>
      <c r="G146" s="47">
        <v>3</v>
      </c>
      <c r="H146" s="48">
        <f t="shared" si="41"/>
        <v>0.11655811200000001</v>
      </c>
      <c r="I146" s="48"/>
      <c r="J146" s="38">
        <f>SUMIF('KIRIM ANTAR UNIT'!B:B,'SETTING PRODUKSI SEPTEMBER AU'!C146,'KIRIM ANTAR UNIT'!E:E)</f>
        <v>0</v>
      </c>
      <c r="K146" s="38">
        <f>SUMIF('KIRIM ANTAR UNIT'!B:B,'SETTING PRODUKSI SEPTEMBER AU'!C146,'KIRIM ANTAR UNIT'!F:F)</f>
        <v>0</v>
      </c>
      <c r="L146" s="40">
        <f t="shared" si="42"/>
        <v>1.087875712</v>
      </c>
      <c r="M146" s="40">
        <f t="shared" si="43"/>
        <v>4.3515028480000002E-2</v>
      </c>
      <c r="N146" s="82">
        <v>1.2</v>
      </c>
      <c r="O146" s="77">
        <f t="shared" si="44"/>
        <v>0</v>
      </c>
      <c r="P146" s="42">
        <f t="shared" si="37"/>
        <v>0.11655811199999999</v>
      </c>
      <c r="Q146" s="77">
        <f t="shared" si="45"/>
        <v>2.9999999999999996</v>
      </c>
      <c r="R146" s="93">
        <v>1</v>
      </c>
      <c r="S146" s="38"/>
    </row>
    <row r="147" spans="2:23" x14ac:dyDescent="0.25">
      <c r="B147" s="38" t="s">
        <v>342</v>
      </c>
      <c r="C147" s="38" t="s">
        <v>299</v>
      </c>
      <c r="D147" s="38" t="s">
        <v>300</v>
      </c>
      <c r="E147" s="39">
        <v>1.2894603819662396</v>
      </c>
      <c r="F147" s="99">
        <v>0</v>
      </c>
      <c r="G147" s="47">
        <v>3</v>
      </c>
      <c r="H147" s="48">
        <f t="shared" si="41"/>
        <v>0.15473524583594875</v>
      </c>
      <c r="I147" s="48"/>
      <c r="J147" s="38">
        <f>SUMIF('KIRIM ANTAR UNIT'!B:B,'SETTING PRODUKSI SEPTEMBER AU'!C147,'KIRIM ANTAR UNIT'!E:E)</f>
        <v>0</v>
      </c>
      <c r="K147" s="38">
        <f>SUMIF('KIRIM ANTAR UNIT'!B:B,'SETTING PRODUKSI SEPTEMBER AU'!C147,'KIRIM ANTAR UNIT'!F:F)</f>
        <v>0</v>
      </c>
      <c r="L147" s="40">
        <f t="shared" si="42"/>
        <v>1.4441956278021884</v>
      </c>
      <c r="M147" s="40">
        <f t="shared" si="43"/>
        <v>5.7767825112087536E-2</v>
      </c>
      <c r="N147" s="82">
        <v>1.2</v>
      </c>
      <c r="O147" s="77">
        <f t="shared" si="44"/>
        <v>0</v>
      </c>
      <c r="P147" s="42">
        <f t="shared" si="37"/>
        <v>0.15473524583594878</v>
      </c>
      <c r="Q147" s="77">
        <f t="shared" si="45"/>
        <v>3.0000000000000004</v>
      </c>
      <c r="R147" s="93">
        <v>0.4</v>
      </c>
      <c r="S147" s="38"/>
    </row>
    <row r="148" spans="2:23" x14ac:dyDescent="0.25">
      <c r="B148" s="38" t="s">
        <v>342</v>
      </c>
      <c r="C148" s="38" t="s">
        <v>301</v>
      </c>
      <c r="D148" s="38" t="s">
        <v>132</v>
      </c>
      <c r="E148" s="39">
        <v>0.95299119999999993</v>
      </c>
      <c r="F148" s="99">
        <v>1.0555099999999999</v>
      </c>
      <c r="G148" s="47">
        <v>3</v>
      </c>
      <c r="H148" s="48">
        <f t="shared" si="41"/>
        <v>0.11435894399999999</v>
      </c>
      <c r="I148" s="48"/>
      <c r="J148" s="38">
        <f>SUMIF('KIRIM ANTAR UNIT'!B:B,'SETTING PRODUKSI SEPTEMBER AU'!C148,'KIRIM ANTAR UNIT'!E:E)</f>
        <v>0</v>
      </c>
      <c r="K148" s="38">
        <f>SUMIF('KIRIM ANTAR UNIT'!B:B,'SETTING PRODUKSI SEPTEMBER AU'!C148,'KIRIM ANTAR UNIT'!F:F)</f>
        <v>0</v>
      </c>
      <c r="L148" s="40">
        <f t="shared" si="42"/>
        <v>1.1840143999999969E-2</v>
      </c>
      <c r="M148" s="40">
        <f t="shared" si="43"/>
        <v>4.7360575999999874E-4</v>
      </c>
      <c r="N148" s="82">
        <v>1.2</v>
      </c>
      <c r="O148" s="77">
        <f t="shared" si="44"/>
        <v>0</v>
      </c>
      <c r="P148" s="42">
        <f t="shared" si="37"/>
        <v>0.11435894400000002</v>
      </c>
      <c r="Q148" s="77">
        <f t="shared" si="45"/>
        <v>3.0000000000000004</v>
      </c>
      <c r="R148" s="93">
        <v>1</v>
      </c>
      <c r="S148" s="38"/>
    </row>
    <row r="149" spans="2:23" x14ac:dyDescent="0.25">
      <c r="B149" s="38" t="s">
        <v>343</v>
      </c>
      <c r="C149" s="38" t="s">
        <v>309</v>
      </c>
      <c r="D149" s="38" t="s">
        <v>310</v>
      </c>
      <c r="E149" s="39">
        <v>1.7623977888000018</v>
      </c>
      <c r="F149" s="99">
        <v>1.3953600000000002</v>
      </c>
      <c r="G149" s="47">
        <v>3</v>
      </c>
      <c r="H149" s="48">
        <f t="shared" si="41"/>
        <v>0.21148773465600018</v>
      </c>
      <c r="I149" s="48"/>
      <c r="J149" s="38">
        <f>SUMIF('KIRIM ANTAR UNIT'!B:B,'SETTING PRODUKSI SEPTEMBER AU'!C149,'KIRIM ANTAR UNIT'!E:E)</f>
        <v>0</v>
      </c>
      <c r="K149" s="38">
        <f>SUMIF('KIRIM ANTAR UNIT'!B:B,'SETTING PRODUKSI SEPTEMBER AU'!C149,'KIRIM ANTAR UNIT'!F:F)</f>
        <v>0</v>
      </c>
      <c r="L149" s="40">
        <f t="shared" si="42"/>
        <v>0.57852552345600183</v>
      </c>
      <c r="M149" s="40">
        <f t="shared" si="43"/>
        <v>2.3141020938240074E-2</v>
      </c>
      <c r="N149" s="82">
        <v>1.2</v>
      </c>
      <c r="O149" s="77">
        <f t="shared" si="44"/>
        <v>0</v>
      </c>
      <c r="P149" s="42">
        <f t="shared" si="37"/>
        <v>0.21148773465600024</v>
      </c>
      <c r="Q149" s="77">
        <f t="shared" si="45"/>
        <v>3.0000000000000004</v>
      </c>
      <c r="R149" s="93">
        <v>1</v>
      </c>
      <c r="S149" s="38"/>
      <c r="W149" s="102"/>
    </row>
    <row r="150" spans="2:23" x14ac:dyDescent="0.25">
      <c r="B150" s="38" t="s">
        <v>342</v>
      </c>
      <c r="C150" s="38" t="s">
        <v>297</v>
      </c>
      <c r="D150" s="38" t="s">
        <v>298</v>
      </c>
      <c r="E150" s="39">
        <v>0.28520000000000006</v>
      </c>
      <c r="F150" s="99">
        <v>0.27577999999999997</v>
      </c>
      <c r="G150" s="47">
        <v>3</v>
      </c>
      <c r="H150" s="48">
        <f t="shared" si="41"/>
        <v>3.4224000000000011E-2</v>
      </c>
      <c r="I150" s="48"/>
      <c r="J150" s="38">
        <f>SUMIF('KIRIM ANTAR UNIT'!B:B,'SETTING PRODUKSI SEPTEMBER AU'!C150,'KIRIM ANTAR UNIT'!E:E)</f>
        <v>0</v>
      </c>
      <c r="K150" s="38">
        <f>SUMIF('KIRIM ANTAR UNIT'!B:B,'SETTING PRODUKSI SEPTEMBER AU'!C150,'KIRIM ANTAR UNIT'!F:F)</f>
        <v>0</v>
      </c>
      <c r="L150" s="40">
        <f t="shared" si="42"/>
        <v>4.3644000000000106E-2</v>
      </c>
      <c r="M150" s="40">
        <f t="shared" si="43"/>
        <v>1.7457600000000042E-3</v>
      </c>
      <c r="N150" s="82">
        <v>1.2</v>
      </c>
      <c r="O150" s="77">
        <f t="shared" si="44"/>
        <v>0</v>
      </c>
      <c r="P150" s="42">
        <f t="shared" si="37"/>
        <v>3.4224000000000032E-2</v>
      </c>
      <c r="Q150" s="77">
        <f t="shared" si="45"/>
        <v>3.0000000000000018</v>
      </c>
      <c r="R150" s="93">
        <v>1</v>
      </c>
      <c r="S150" s="38"/>
      <c r="W150" s="159"/>
    </row>
    <row r="151" spans="2:23" x14ac:dyDescent="0.25">
      <c r="B151" s="38"/>
      <c r="C151" s="38"/>
      <c r="D151" s="38"/>
      <c r="E151" s="39"/>
      <c r="F151" s="49"/>
      <c r="G151" s="47"/>
      <c r="H151" s="48"/>
      <c r="I151" s="48"/>
      <c r="J151" s="38"/>
      <c r="K151" s="38"/>
      <c r="L151" s="40"/>
      <c r="M151" s="40"/>
      <c r="N151" s="82"/>
      <c r="O151" s="77"/>
      <c r="P151" s="42"/>
      <c r="Q151" s="77"/>
      <c r="R151" s="38"/>
      <c r="S151" s="38"/>
      <c r="W151" s="159"/>
    </row>
    <row r="152" spans="2:23" x14ac:dyDescent="0.25">
      <c r="B152" s="38"/>
      <c r="C152" s="38"/>
      <c r="D152" s="38"/>
      <c r="E152" s="39"/>
      <c r="F152" s="49"/>
      <c r="G152" s="47"/>
      <c r="H152" s="48"/>
      <c r="I152" s="48"/>
      <c r="J152" s="38"/>
      <c r="K152" s="38"/>
      <c r="L152" s="40"/>
      <c r="M152" s="40"/>
      <c r="N152" s="82"/>
      <c r="O152" s="77"/>
      <c r="P152" s="42"/>
      <c r="Q152" s="77"/>
      <c r="R152" s="38"/>
      <c r="S152" s="38"/>
    </row>
    <row r="153" spans="2:23" x14ac:dyDescent="0.25">
      <c r="B153" s="38"/>
      <c r="C153" s="38"/>
      <c r="D153" s="38"/>
      <c r="E153" s="39"/>
      <c r="F153" s="49"/>
      <c r="G153" s="47"/>
      <c r="H153" s="48"/>
      <c r="I153" s="48"/>
      <c r="J153" s="38"/>
      <c r="K153" s="38"/>
      <c r="L153" s="40"/>
      <c r="M153" s="40"/>
      <c r="N153" s="82"/>
      <c r="O153" s="77"/>
      <c r="P153" s="42"/>
      <c r="Q153" s="77"/>
      <c r="R153" s="38"/>
      <c r="S153" s="38"/>
    </row>
    <row r="154" spans="2:23" x14ac:dyDescent="0.25">
      <c r="B154" s="38"/>
      <c r="C154" s="38"/>
      <c r="D154" s="38"/>
      <c r="E154" s="39"/>
      <c r="F154" s="49"/>
      <c r="G154" s="47"/>
      <c r="H154" s="48"/>
      <c r="I154" s="48"/>
      <c r="J154" s="38"/>
      <c r="K154" s="38"/>
      <c r="L154" s="40"/>
      <c r="M154" s="40"/>
      <c r="N154" s="82"/>
      <c r="O154" s="77"/>
      <c r="P154" s="42"/>
      <c r="Q154" s="77"/>
      <c r="R154" s="38"/>
      <c r="S154" s="38"/>
    </row>
    <row r="155" spans="2:23" x14ac:dyDescent="0.25">
      <c r="B155" s="38"/>
      <c r="C155" s="38"/>
      <c r="D155" s="58" t="s">
        <v>122</v>
      </c>
      <c r="E155" s="84">
        <f>SUM(E142:E154)</f>
        <v>11.950566970766239</v>
      </c>
      <c r="F155" s="84">
        <f>SUM(F142:F154)</f>
        <v>3.8153100000000002</v>
      </c>
      <c r="G155" s="83"/>
      <c r="H155" s="84">
        <f>SUM(H142:H154)</f>
        <v>1.4340680364919489</v>
      </c>
      <c r="I155" s="84"/>
      <c r="J155" s="84">
        <f>SUM(J142:J154)</f>
        <v>0</v>
      </c>
      <c r="K155" s="84">
        <f>SUM(K142:K154)</f>
        <v>0</v>
      </c>
      <c r="L155" s="84">
        <f>SUM(L142:L154)</f>
        <v>9.7432250072581912</v>
      </c>
      <c r="M155" s="84">
        <f>SUM(M142:M154)</f>
        <v>0.38972900029032759</v>
      </c>
      <c r="N155" s="84"/>
      <c r="O155" s="84">
        <f>SUM(O142:O154)</f>
        <v>422.13763440860225</v>
      </c>
      <c r="P155" s="84">
        <f>SUM(P142:P154)</f>
        <v>1.6079680364919489</v>
      </c>
      <c r="Q155" s="108"/>
      <c r="R155" s="84"/>
      <c r="S155" s="38"/>
    </row>
  </sheetData>
  <autoFilter ref="C12:O155">
    <filterColumn colId="4" showButton="0"/>
    <filterColumn colId="7" showButton="0"/>
  </autoFilter>
  <mergeCells count="18">
    <mergeCell ref="W11:AA11"/>
    <mergeCell ref="B12:B13"/>
    <mergeCell ref="C12:C13"/>
    <mergeCell ref="D12:D13"/>
    <mergeCell ref="E12:E13"/>
    <mergeCell ref="F12:F13"/>
    <mergeCell ref="G12:H12"/>
    <mergeCell ref="I12:K12"/>
    <mergeCell ref="L12:L13"/>
    <mergeCell ref="M12:M13"/>
    <mergeCell ref="W35:X35"/>
    <mergeCell ref="W47:X47"/>
    <mergeCell ref="N12:N13"/>
    <mergeCell ref="O12:O13"/>
    <mergeCell ref="P12:P13"/>
    <mergeCell ref="Q12:Q13"/>
    <mergeCell ref="R12:R13"/>
    <mergeCell ref="S12:S1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07"/>
  <sheetViews>
    <sheetView showGridLines="0" zoomScale="70" zoomScaleNormal="70" workbookViewId="0">
      <pane xSplit="9" ySplit="14" topLeftCell="J160" activePane="bottomRight" state="frozen"/>
      <selection pane="topRight" activeCell="J1" sqref="J1"/>
      <selection pane="bottomLeft" activeCell="A15" sqref="A15"/>
      <selection pane="bottomRight" activeCell="L176" sqref="L176"/>
    </sheetView>
  </sheetViews>
  <sheetFormatPr defaultRowHeight="15" x14ac:dyDescent="0.25"/>
  <cols>
    <col min="2" max="2" width="18.7109375" bestFit="1" customWidth="1"/>
    <col min="3" max="3" width="18.5703125" bestFit="1" customWidth="1"/>
    <col min="4" max="4" width="33.7109375" bestFit="1" customWidth="1"/>
    <col min="5" max="5" width="12.7109375" customWidth="1"/>
    <col min="6" max="6" width="16.42578125" customWidth="1"/>
    <col min="7" max="7" width="12.28515625" bestFit="1" customWidth="1"/>
    <col min="8" max="8" width="7.42578125" style="10" bestFit="1" customWidth="1"/>
    <col min="9" max="9" width="13" style="10" bestFit="1" customWidth="1"/>
    <col min="10" max="11" width="11.7109375" bestFit="1" customWidth="1"/>
    <col min="12" max="12" width="23.42578125" bestFit="1" customWidth="1"/>
    <col min="13" max="13" width="21.5703125" bestFit="1" customWidth="1"/>
    <col min="14" max="14" width="13.5703125" bestFit="1" customWidth="1"/>
    <col min="15" max="15" width="21.5703125" bestFit="1" customWidth="1"/>
    <col min="16" max="16" width="21.5703125" customWidth="1"/>
    <col min="18" max="18" width="10.85546875" bestFit="1" customWidth="1"/>
    <col min="19" max="19" width="12.28515625" bestFit="1" customWidth="1"/>
    <col min="20" max="20" width="7.85546875" customWidth="1"/>
    <col min="21" max="21" width="10.140625" bestFit="1" customWidth="1"/>
    <col min="22" max="22" width="19.5703125" bestFit="1" customWidth="1"/>
    <col min="23" max="23" width="23.5703125" bestFit="1" customWidth="1"/>
    <col min="24" max="24" width="20" bestFit="1" customWidth="1"/>
    <col min="25" max="25" width="22" bestFit="1" customWidth="1"/>
    <col min="26" max="26" width="16.28515625" bestFit="1" customWidth="1"/>
    <col min="27" max="27" width="21" bestFit="1" customWidth="1"/>
    <col min="28" max="28" width="28.28515625" bestFit="1" customWidth="1"/>
    <col min="29" max="29" width="16.42578125" bestFit="1" customWidth="1"/>
    <col min="30" max="30" width="8.85546875" bestFit="1" customWidth="1"/>
    <col min="31" max="31" width="20" bestFit="1" customWidth="1"/>
    <col min="32" max="32" width="16.42578125" bestFit="1" customWidth="1"/>
    <col min="33" max="33" width="12" bestFit="1" customWidth="1"/>
    <col min="34" max="34" width="20" bestFit="1" customWidth="1"/>
    <col min="35" max="35" width="16.42578125" bestFit="1" customWidth="1"/>
    <col min="36" max="36" width="12" bestFit="1" customWidth="1"/>
    <col min="37" max="37" width="20" bestFit="1" customWidth="1"/>
    <col min="38" max="38" width="13.42578125" bestFit="1" customWidth="1"/>
    <col min="39" max="39" width="12" bestFit="1" customWidth="1"/>
    <col min="40" max="40" width="20" bestFit="1" customWidth="1"/>
    <col min="41" max="41" width="13.42578125" bestFit="1" customWidth="1"/>
    <col min="42" max="42" width="12" bestFit="1" customWidth="1"/>
    <col min="43" max="43" width="20" bestFit="1" customWidth="1"/>
    <col min="44" max="44" width="13.42578125" bestFit="1" customWidth="1"/>
    <col min="45" max="45" width="12" bestFit="1" customWidth="1"/>
    <col min="46" max="46" width="20" bestFit="1" customWidth="1"/>
    <col min="47" max="47" width="14.85546875" bestFit="1" customWidth="1"/>
    <col min="48" max="48" width="12" bestFit="1" customWidth="1"/>
    <col min="49" max="49" width="21" bestFit="1" customWidth="1"/>
    <col min="50" max="50" width="14.85546875" bestFit="1" customWidth="1"/>
    <col min="51" max="51" width="12" bestFit="1" customWidth="1"/>
    <col min="52" max="52" width="15.5703125" bestFit="1" customWidth="1"/>
    <col min="53" max="53" width="6.28515625" bestFit="1" customWidth="1"/>
    <col min="54" max="54" width="28.28515625" bestFit="1" customWidth="1"/>
    <col min="55" max="55" width="16.42578125" bestFit="1" customWidth="1"/>
    <col min="56" max="56" width="6.28515625" bestFit="1" customWidth="1"/>
    <col min="57" max="57" width="20" bestFit="1" customWidth="1"/>
    <col min="58" max="58" width="16.42578125" bestFit="1" customWidth="1"/>
    <col min="59" max="59" width="6.28515625" bestFit="1" customWidth="1"/>
    <col min="60" max="60" width="20" bestFit="1" customWidth="1"/>
    <col min="61" max="61" width="16.42578125" bestFit="1" customWidth="1"/>
    <col min="62" max="62" width="6.28515625" bestFit="1" customWidth="1"/>
    <col min="63" max="63" width="20" bestFit="1" customWidth="1"/>
    <col min="64" max="64" width="13.42578125" bestFit="1" customWidth="1"/>
    <col min="65" max="65" width="6.28515625" bestFit="1" customWidth="1"/>
    <col min="66" max="66" width="20" bestFit="1" customWidth="1"/>
    <col min="67" max="67" width="13.42578125" bestFit="1" customWidth="1"/>
    <col min="68" max="68" width="6.28515625" bestFit="1" customWidth="1"/>
    <col min="69" max="69" width="20" bestFit="1" customWidth="1"/>
    <col min="70" max="70" width="13.42578125" bestFit="1" customWidth="1"/>
    <col min="71" max="71" width="6.28515625" bestFit="1" customWidth="1"/>
    <col min="72" max="72" width="20" bestFit="1" customWidth="1"/>
    <col min="73" max="73" width="14.85546875" bestFit="1" customWidth="1"/>
    <col min="74" max="74" width="6.28515625" bestFit="1" customWidth="1"/>
    <col min="75" max="75" width="21" bestFit="1" customWidth="1"/>
    <col min="76" max="76" width="14.85546875" bestFit="1" customWidth="1"/>
    <col min="77" max="77" width="6.28515625" bestFit="1" customWidth="1"/>
  </cols>
  <sheetData>
    <row r="1" spans="1:54" x14ac:dyDescent="0.25">
      <c r="C1" s="1"/>
      <c r="D1" s="1"/>
      <c r="E1" s="2"/>
      <c r="F1" s="2"/>
      <c r="G1" s="2"/>
    </row>
    <row r="2" spans="1:54" x14ac:dyDescent="0.25">
      <c r="C2" s="1"/>
      <c r="D2" s="1" t="s">
        <v>364</v>
      </c>
      <c r="E2" s="2"/>
      <c r="F2" s="2"/>
      <c r="G2" s="2"/>
    </row>
    <row r="3" spans="1:54" x14ac:dyDescent="0.25">
      <c r="C3" s="1"/>
      <c r="D3" s="2" t="s">
        <v>34</v>
      </c>
      <c r="E3" s="2" t="s">
        <v>365</v>
      </c>
      <c r="F3" s="2"/>
      <c r="G3" s="2"/>
    </row>
    <row r="4" spans="1:54" x14ac:dyDescent="0.25">
      <c r="C4" s="2"/>
      <c r="D4" s="2" t="s">
        <v>35</v>
      </c>
      <c r="E4" s="191" t="s">
        <v>579</v>
      </c>
      <c r="F4" s="3"/>
      <c r="G4" s="2"/>
    </row>
    <row r="5" spans="1:54" x14ac:dyDescent="0.25">
      <c r="C5" s="2"/>
      <c r="D5" s="2"/>
      <c r="E5" s="2"/>
      <c r="F5" s="2"/>
      <c r="G5" s="2"/>
    </row>
    <row r="6" spans="1:54" x14ac:dyDescent="0.25">
      <c r="C6" s="6"/>
      <c r="D6" s="4"/>
      <c r="E6" s="4"/>
      <c r="F6" s="7"/>
      <c r="G6" s="4"/>
      <c r="AB6" s="114" t="s">
        <v>358</v>
      </c>
      <c r="AC6" s="205"/>
      <c r="AD6" s="104"/>
      <c r="AE6" s="104"/>
      <c r="AF6" s="205"/>
      <c r="AG6" s="104"/>
      <c r="AH6" s="104"/>
      <c r="AI6" s="205"/>
      <c r="AJ6" s="104"/>
      <c r="AK6" s="104"/>
      <c r="AL6" s="205"/>
      <c r="AM6" s="104"/>
      <c r="AN6" s="104"/>
      <c r="AO6" s="205"/>
      <c r="AP6" s="104"/>
      <c r="AQ6" s="104"/>
      <c r="AR6" s="205"/>
      <c r="AS6" s="104"/>
      <c r="AT6" s="104"/>
      <c r="AU6" s="205"/>
      <c r="AV6" s="104"/>
      <c r="AW6" s="104"/>
      <c r="AX6" s="205"/>
      <c r="AY6" s="104"/>
      <c r="AZ6">
        <f>SUM(AC6:AY6)</f>
        <v>0</v>
      </c>
      <c r="BB6" s="68"/>
    </row>
    <row r="7" spans="1:54" x14ac:dyDescent="0.25">
      <c r="C7" s="6"/>
      <c r="D7" s="4"/>
      <c r="E7" s="4"/>
      <c r="F7" s="8"/>
      <c r="G7" s="4"/>
      <c r="AB7" s="112" t="s">
        <v>147</v>
      </c>
      <c r="AC7" s="98">
        <f>IFERROR(ROUNDUP(AC9/VLOOKUP(AC8,'MASTER DATA'!$AG:$AH,2,FALSE),0),0)</f>
        <v>8</v>
      </c>
      <c r="AD7" s="94"/>
      <c r="AE7" s="94"/>
      <c r="AF7" s="98">
        <f>IFERROR(ROUNDUP(AF9/VLOOKUP(AF8,'MASTER DATA'!$AG:$AH,2,FALSE),0),0)</f>
        <v>11</v>
      </c>
      <c r="AG7" s="94"/>
      <c r="AH7" s="94"/>
      <c r="AI7" s="98">
        <f>IFERROR(ROUNDUP(AI9/VLOOKUP(AI8,'MASTER DATA'!$AG:$AH,2,FALSE),0),0)</f>
        <v>0</v>
      </c>
      <c r="AJ7" s="94"/>
      <c r="AK7" s="94"/>
      <c r="AL7" s="98">
        <f>IFERROR(ROUNDUP(AL9/VLOOKUP(AL8,'MASTER DATA'!$AG:$AH,2,FALSE),0),0)</f>
        <v>0</v>
      </c>
      <c r="AM7" s="94"/>
      <c r="AN7" s="94"/>
      <c r="AO7" s="98">
        <f>IFERROR(ROUNDUP(AO9/VLOOKUP(AO8,'MASTER DATA'!$AG:$AH,2,FALSE),0),0)</f>
        <v>0</v>
      </c>
      <c r="AP7" s="94"/>
      <c r="AQ7" s="94"/>
      <c r="AR7" s="98">
        <f>IFERROR(ROUNDUP(AR9/VLOOKUP(AR8,'MASTER DATA'!$AG:$AH,2,FALSE),0),0)</f>
        <v>0</v>
      </c>
      <c r="AS7" s="94"/>
      <c r="AT7" s="94"/>
      <c r="AU7" s="98">
        <f>IFERROR(ROUNDUP(AU9/VLOOKUP(AU8,'MASTER DATA'!$AG:$AH,2,FALSE),0),0)</f>
        <v>0</v>
      </c>
      <c r="AV7" s="94"/>
      <c r="AW7" s="94"/>
      <c r="AX7" s="98">
        <f>IFERROR(ROUNDUP(AX9/VLOOKUP(AX8,'MASTER DATA'!$AG:$AH,2,FALSE),0),0)</f>
        <v>10</v>
      </c>
      <c r="AY7" s="94"/>
      <c r="AZ7">
        <f>SUM(AC7:AY7)</f>
        <v>29</v>
      </c>
    </row>
    <row r="8" spans="1:54" x14ac:dyDescent="0.25">
      <c r="C8" s="6"/>
      <c r="D8" s="45" t="s">
        <v>36</v>
      </c>
      <c r="E8" s="46">
        <v>26</v>
      </c>
      <c r="F8" s="9"/>
      <c r="G8" s="4"/>
      <c r="AB8" s="113" t="s">
        <v>148</v>
      </c>
      <c r="AC8" s="95" t="s">
        <v>66</v>
      </c>
      <c r="AD8" s="94"/>
      <c r="AE8" s="94"/>
      <c r="AF8" s="95" t="s">
        <v>352</v>
      </c>
      <c r="AG8" s="94"/>
      <c r="AH8" s="94"/>
      <c r="AI8" s="95" t="s">
        <v>69</v>
      </c>
      <c r="AJ8" s="94"/>
      <c r="AK8" s="94"/>
      <c r="AL8" s="95" t="s">
        <v>348</v>
      </c>
      <c r="AM8" s="94"/>
      <c r="AN8" s="94"/>
      <c r="AO8" s="95" t="s">
        <v>62</v>
      </c>
      <c r="AP8" s="94"/>
      <c r="AQ8" s="94"/>
      <c r="AR8" s="95" t="s">
        <v>64</v>
      </c>
      <c r="AS8" s="94"/>
      <c r="AT8" s="94"/>
      <c r="AU8" s="95" t="s">
        <v>71</v>
      </c>
      <c r="AV8" s="94"/>
      <c r="AW8" s="94"/>
      <c r="AX8" s="95" t="s">
        <v>357</v>
      </c>
      <c r="AY8" s="94"/>
    </row>
    <row r="9" spans="1:54" x14ac:dyDescent="0.25">
      <c r="C9" s="6"/>
      <c r="D9" s="45" t="s">
        <v>37</v>
      </c>
      <c r="E9" s="46">
        <v>26</v>
      </c>
      <c r="F9" s="9"/>
      <c r="G9" s="2"/>
      <c r="S9" s="107"/>
      <c r="T9" s="107"/>
      <c r="AB9" s="114" t="s">
        <v>154</v>
      </c>
      <c r="AC9" s="103">
        <f>IFERROR(AC11/AC10,0)</f>
        <v>14934.251779733642</v>
      </c>
      <c r="AD9" s="104"/>
      <c r="AE9" s="104"/>
      <c r="AF9" s="103">
        <f>IFERROR(AF11/AF10,0)</f>
        <v>20855.285031933992</v>
      </c>
      <c r="AG9" s="104"/>
      <c r="AH9" s="104"/>
      <c r="AI9" s="103">
        <f>IFERROR(AI11/AI10,0)</f>
        <v>0</v>
      </c>
      <c r="AJ9" s="104"/>
      <c r="AK9" s="104"/>
      <c r="AL9" s="103">
        <f>IFERROR(AL11/AL10,0)</f>
        <v>0</v>
      </c>
      <c r="AM9" s="104"/>
      <c r="AN9" s="104"/>
      <c r="AO9" s="103">
        <f>IFERROR(AO11/AO10,0)</f>
        <v>0</v>
      </c>
      <c r="AP9" s="104"/>
      <c r="AQ9" s="104"/>
      <c r="AR9" s="103">
        <f>IFERROR(AR11/AR10,0)</f>
        <v>0</v>
      </c>
      <c r="AS9" s="104"/>
      <c r="AT9" s="104"/>
      <c r="AU9" s="103">
        <f>IFERROR(AU11/AU10,0)</f>
        <v>0</v>
      </c>
      <c r="AV9" s="104"/>
      <c r="AW9" s="104"/>
      <c r="AX9" s="103">
        <f>IFERROR(AX11/AX10,0)</f>
        <v>13090.209231022916</v>
      </c>
      <c r="AY9" s="104"/>
    </row>
    <row r="10" spans="1:54" x14ac:dyDescent="0.25">
      <c r="C10" s="1"/>
      <c r="D10" s="1"/>
      <c r="E10" s="5"/>
      <c r="F10" s="5"/>
      <c r="G10" s="2"/>
      <c r="S10" s="107"/>
      <c r="T10" s="107"/>
      <c r="AB10" s="115" t="s">
        <v>361</v>
      </c>
      <c r="AC10" s="96">
        <f>SUMIF('MASTER DATA'!$H:$H,'SETTING PRODUKSI Januari'!AC$8&amp;"&amp;1",'MASTER DATA'!$M:$M)</f>
        <v>0.51</v>
      </c>
      <c r="AD10" s="94"/>
      <c r="AE10" s="94"/>
      <c r="AF10" s="96">
        <f>SUMIF('MASTER DATA'!$H:$H,'SETTING PRODUKSI Januari'!AF$8&amp;"&amp;1",'MASTER DATA'!$M:$M)</f>
        <v>0.72000000000000008</v>
      </c>
      <c r="AG10" s="94"/>
      <c r="AH10" s="94"/>
      <c r="AI10" s="96">
        <f>SUMIF('MASTER DATA'!$H:$H,'SETTING PRODUKSI Januari'!AI$8&amp;"&amp;1",'MASTER DATA'!$M:$M)</f>
        <v>0</v>
      </c>
      <c r="AJ10" s="94"/>
      <c r="AK10" s="94"/>
      <c r="AL10" s="96">
        <f>SUMIF('MASTER DATA'!$H:$H,'SETTING PRODUKSI Januari'!AL$8&amp;"&amp;1",'MASTER DATA'!$M:$M)</f>
        <v>0</v>
      </c>
      <c r="AM10" s="94"/>
      <c r="AN10" s="94"/>
      <c r="AO10" s="96">
        <f>SUMIF('MASTER DATA'!$H:$H,'SETTING PRODUKSI Januari'!AO$8&amp;"&amp;1",'MASTER DATA'!$M:$M)</f>
        <v>0</v>
      </c>
      <c r="AP10" s="94"/>
      <c r="AQ10" s="94"/>
      <c r="AR10" s="96">
        <f>SUMIF('MASTER DATA'!$H:$H,'SETTING PRODUKSI Januari'!AR$8&amp;"&amp;1",'MASTER DATA'!$M:$M)</f>
        <v>0</v>
      </c>
      <c r="AS10" s="94"/>
      <c r="AT10" s="94"/>
      <c r="AU10" s="96">
        <f>SUMIF('MASTER DATA'!$H:$H,'SETTING PRODUKSI Januari'!AU$8&amp;"&amp;1",'MASTER DATA'!$M:$M)</f>
        <v>0</v>
      </c>
      <c r="AV10" s="94"/>
      <c r="AW10" s="94"/>
      <c r="AX10" s="96">
        <f>SUMIF('MASTER DATA'!$H:$H,'SETTING PRODUKSI Januari'!AX$8&amp;"&amp;1",'MASTER DATA'!$M:$M)</f>
        <v>0.74</v>
      </c>
      <c r="AY10" s="94"/>
    </row>
    <row r="11" spans="1:54" x14ac:dyDescent="0.25">
      <c r="C11" s="1"/>
      <c r="D11" s="1"/>
      <c r="E11" s="5"/>
      <c r="F11" s="5"/>
      <c r="G11" s="2"/>
      <c r="N11" s="100"/>
      <c r="S11" s="107"/>
      <c r="T11" s="107"/>
      <c r="W11" s="240" t="s">
        <v>153</v>
      </c>
      <c r="X11" s="240"/>
      <c r="Y11" s="240"/>
      <c r="Z11" s="240"/>
      <c r="AA11" s="241"/>
      <c r="AB11" s="116" t="s">
        <v>146</v>
      </c>
      <c r="AC11" s="97">
        <f>IFERROR(SUMIF(AB13:AB30,1,AA13:AA30)/3,0)</f>
        <v>7616.4684076641579</v>
      </c>
      <c r="AD11" s="97"/>
      <c r="AE11" s="97"/>
      <c r="AF11" s="97">
        <f>SUMIF(AE13:AE30,1,AD13:AD30)*-1</f>
        <v>15015.805222992476</v>
      </c>
      <c r="AG11" s="97"/>
      <c r="AH11" s="97"/>
      <c r="AI11" s="97">
        <f>SUMIF(AH13:AH30,1,AG13:AG30)*-1</f>
        <v>0</v>
      </c>
      <c r="AJ11" s="97"/>
      <c r="AK11" s="97"/>
      <c r="AL11" s="97">
        <f>SUMIF(AK13:AK30,1,AJ13:AJ30)*-1</f>
        <v>0</v>
      </c>
      <c r="AM11" s="97"/>
      <c r="AN11" s="97"/>
      <c r="AO11" s="97">
        <f>SUMIF(AN13:AN30,1,AM13:AM30)*-1</f>
        <v>0</v>
      </c>
      <c r="AP11" s="97"/>
      <c r="AQ11" s="97"/>
      <c r="AR11" s="97">
        <f>SUMIF(AQ13:AQ30,1,AP13:AP30)*-1</f>
        <v>0</v>
      </c>
      <c r="AS11" s="97"/>
      <c r="AT11" s="97"/>
      <c r="AU11" s="97">
        <f>SUMIF(AT13:AT30,1,AS13:AS30)*-1</f>
        <v>0</v>
      </c>
      <c r="AV11" s="97"/>
      <c r="AW11" s="97"/>
      <c r="AX11" s="97">
        <f>SUMIF(AW13:AW31,1,AD13:AD31)*-1</f>
        <v>9686.7548309569574</v>
      </c>
      <c r="AY11" s="94"/>
    </row>
    <row r="12" spans="1:54" ht="30" customHeight="1" x14ac:dyDescent="0.25">
      <c r="B12" s="242" t="s">
        <v>135</v>
      </c>
      <c r="C12" s="242" t="s">
        <v>38</v>
      </c>
      <c r="D12" s="243" t="s">
        <v>39</v>
      </c>
      <c r="E12" s="243" t="s">
        <v>41</v>
      </c>
      <c r="F12" s="243" t="s">
        <v>576</v>
      </c>
      <c r="G12" s="244" t="s">
        <v>42</v>
      </c>
      <c r="H12" s="244"/>
      <c r="I12" s="245" t="s">
        <v>152</v>
      </c>
      <c r="J12" s="246"/>
      <c r="K12" s="247"/>
      <c r="L12" s="238" t="s">
        <v>117</v>
      </c>
      <c r="M12" s="238" t="s">
        <v>118</v>
      </c>
      <c r="N12" s="238" t="s">
        <v>52</v>
      </c>
      <c r="O12" s="239" t="s">
        <v>53</v>
      </c>
      <c r="P12" s="238" t="s">
        <v>134</v>
      </c>
      <c r="Q12" s="238" t="s">
        <v>143</v>
      </c>
      <c r="R12" s="238" t="s">
        <v>155</v>
      </c>
      <c r="S12" s="238" t="s">
        <v>329</v>
      </c>
      <c r="T12" s="207"/>
      <c r="U12" s="23"/>
      <c r="V12" s="15" t="s">
        <v>57</v>
      </c>
      <c r="W12" s="15" t="s">
        <v>355</v>
      </c>
      <c r="X12" s="15" t="s">
        <v>356</v>
      </c>
      <c r="Y12" s="15" t="s">
        <v>130</v>
      </c>
      <c r="Z12" s="15" t="s">
        <v>121</v>
      </c>
      <c r="AA12" s="88" t="s">
        <v>156</v>
      </c>
      <c r="AB12" s="15" t="s">
        <v>144</v>
      </c>
      <c r="AC12" s="15" t="s">
        <v>157</v>
      </c>
      <c r="AD12" s="15" t="s">
        <v>123</v>
      </c>
      <c r="AE12" s="15" t="s">
        <v>144</v>
      </c>
      <c r="AF12" s="15" t="s">
        <v>157</v>
      </c>
      <c r="AG12" s="15" t="s">
        <v>123</v>
      </c>
      <c r="AH12" s="15" t="s">
        <v>144</v>
      </c>
      <c r="AI12" s="15" t="s">
        <v>157</v>
      </c>
      <c r="AJ12" s="15" t="s">
        <v>123</v>
      </c>
      <c r="AK12" s="15" t="s">
        <v>144</v>
      </c>
      <c r="AL12" s="15" t="s">
        <v>158</v>
      </c>
      <c r="AM12" s="15" t="s">
        <v>123</v>
      </c>
      <c r="AN12" s="15" t="s">
        <v>144</v>
      </c>
      <c r="AO12" s="15" t="s">
        <v>158</v>
      </c>
      <c r="AP12" s="15" t="s">
        <v>123</v>
      </c>
      <c r="AQ12" s="15" t="s">
        <v>144</v>
      </c>
      <c r="AR12" s="15" t="s">
        <v>158</v>
      </c>
      <c r="AS12" s="15" t="s">
        <v>123</v>
      </c>
      <c r="AT12" s="15" t="s">
        <v>144</v>
      </c>
      <c r="AU12" s="15" t="s">
        <v>159</v>
      </c>
      <c r="AV12" s="15" t="s">
        <v>123</v>
      </c>
      <c r="AW12" s="15" t="s">
        <v>145</v>
      </c>
      <c r="AX12" s="15" t="s">
        <v>159</v>
      </c>
      <c r="AY12" s="15" t="s">
        <v>123</v>
      </c>
    </row>
    <row r="13" spans="1:54" ht="15" customHeight="1" x14ac:dyDescent="0.25">
      <c r="B13" s="242"/>
      <c r="C13" s="242"/>
      <c r="D13" s="243"/>
      <c r="E13" s="243"/>
      <c r="F13" s="243"/>
      <c r="G13" s="56" t="s">
        <v>43</v>
      </c>
      <c r="H13" s="57" t="s">
        <v>40</v>
      </c>
      <c r="I13" s="189" t="s">
        <v>149</v>
      </c>
      <c r="J13" s="192" t="s">
        <v>150</v>
      </c>
      <c r="K13" s="192" t="s">
        <v>151</v>
      </c>
      <c r="L13" s="238"/>
      <c r="M13" s="238"/>
      <c r="N13" s="238"/>
      <c r="O13" s="239"/>
      <c r="P13" s="238"/>
      <c r="Q13" s="238"/>
      <c r="R13" s="238"/>
      <c r="S13" s="238"/>
      <c r="T13" s="207"/>
      <c r="U13" s="34">
        <v>0.3</v>
      </c>
      <c r="V13" s="18" t="s">
        <v>63</v>
      </c>
      <c r="W13" s="203">
        <f>SUMIF($N$15:$N$81,U13,$O$15:$O$81)</f>
        <v>0</v>
      </c>
      <c r="X13" s="203"/>
      <c r="Y13" s="203">
        <f>SUMIF($N$178:$N$200,U13,$O$178:$O$200)</f>
        <v>0</v>
      </c>
      <c r="Z13" s="203">
        <f>SUMIF($N$138:$N$172,U13,$O$138:$O$172)</f>
        <v>0</v>
      </c>
      <c r="AA13" s="203">
        <f>SUM(W13:Z13)</f>
        <v>0</v>
      </c>
      <c r="AB13" s="38"/>
      <c r="AC13" s="60">
        <f>IF(AC$6="",IFERROR(VLOOKUP((AC$8&amp;"&amp;"&amp;$V13),'MASTER DATA'!$G:$M,7,FALSE)*AC$7*(VLOOKUP(AC$8,'MASTER DATA'!$AG:$AH,2,FALSE)),0),IFERROR(VLOOKUP((AC$8&amp;"&amp;"&amp;$V13),'MASTER DATA'!$G:$M,7,FALSE)*AC$6*(VLOOKUP(AC$8,'MASTER DATA'!$AG:$AH,2,FALSE)),0))</f>
        <v>0</v>
      </c>
      <c r="AD13" s="60">
        <f t="shared" ref="AD13:AD30" si="0">AC13-AA13</f>
        <v>0</v>
      </c>
      <c r="AE13" s="38"/>
      <c r="AF13" s="60">
        <f>IF(AF$6="",IFERROR(VLOOKUP((AF$8&amp;"&amp;"&amp;$V13),'MASTER DATA'!$G:$M,7,FALSE)*AF$7*(VLOOKUP(AF$8,'MASTER DATA'!$AG:$AH,2,FALSE)),0),IFERROR(VLOOKUP((AF$8&amp;"&amp;"&amp;$V13),'MASTER DATA'!$G:$M,7,FALSE)*AF$6*(VLOOKUP(AF$8,'MASTER DATA'!$AG:$AH,2,FALSE)),0))</f>
        <v>0</v>
      </c>
      <c r="AG13" s="60">
        <f>AF13+AD13</f>
        <v>0</v>
      </c>
      <c r="AH13" s="38"/>
      <c r="AI13" s="60">
        <f>IF(AI$6="",IFERROR(VLOOKUP((AI$8&amp;"&amp;"&amp;$V13),'MASTER DATA'!$G:$M,7,FALSE)*AI$7*(VLOOKUP(AI$8,'MASTER DATA'!$AG:$AH,2,FALSE)),0),IFERROR(VLOOKUP((AI$8&amp;"&amp;"&amp;$V13),'MASTER DATA'!$G:$M,7,FALSE)*AI$6*(VLOOKUP(AI$8,'MASTER DATA'!$AG:$AH,2,FALSE)),0))</f>
        <v>0</v>
      </c>
      <c r="AJ13" s="60">
        <f>AI13+AG13</f>
        <v>0</v>
      </c>
      <c r="AK13" s="38"/>
      <c r="AL13" s="60">
        <f>IF(AL$6="",IFERROR(VLOOKUP((AL$8&amp;"&amp;"&amp;$V13),'MASTER DATA'!$G:$M,7,FALSE)*AL$7*(VLOOKUP(AL$8,'MASTER DATA'!$AG:$AH,2,FALSE)),0),IFERROR(VLOOKUP((AL$8&amp;"&amp;"&amp;$V13),'MASTER DATA'!$G:$M,7,FALSE)*AL$6*(VLOOKUP(AL$8,'MASTER DATA'!$AG:$AH,2,FALSE)),0))</f>
        <v>0</v>
      </c>
      <c r="AM13" s="60">
        <f>AL13+AJ13</f>
        <v>0</v>
      </c>
      <c r="AN13" s="38"/>
      <c r="AO13" s="60">
        <f>IF(AO$6="",IFERROR(VLOOKUP((AO$8&amp;"&amp;"&amp;$V13),'MASTER DATA'!$G:$M,7,FALSE)*AO$7*(VLOOKUP(AO$8,'MASTER DATA'!$AG:$AH,2,FALSE)),0),IFERROR(VLOOKUP((AO$8&amp;"&amp;"&amp;$V13),'MASTER DATA'!$G:$M,7,FALSE)*AO$6*(VLOOKUP(AO$8,'MASTER DATA'!$AG:$AH,2,FALSE)),0))</f>
        <v>0</v>
      </c>
      <c r="AP13" s="60">
        <f>AO13+AM13</f>
        <v>0</v>
      </c>
      <c r="AQ13" s="38"/>
      <c r="AR13" s="60">
        <f>IF(AR$6="",IFERROR(VLOOKUP((AR$8&amp;"&amp;"&amp;$V13),'MASTER DATA'!$G:$M,7,FALSE)*AR$7*(VLOOKUP(AR$8,'MASTER DATA'!$AG:$AH,2,FALSE)),0),IFERROR(VLOOKUP((AR$8&amp;"&amp;"&amp;$V13),'MASTER DATA'!$G:$M,7,FALSE)*AR$6*(VLOOKUP(AR$8,'MASTER DATA'!$AG:$AH,2,FALSE)),0))</f>
        <v>0</v>
      </c>
      <c r="AS13" s="60">
        <f>AR13+AP13</f>
        <v>0</v>
      </c>
      <c r="AT13" s="38"/>
      <c r="AU13" s="60">
        <f>IF(AU$6="",IFERROR(VLOOKUP((AU$8&amp;"&amp;"&amp;$V13),'MASTER DATA'!$G:$M,7,FALSE)*AU$7*(VLOOKUP(AU$8,'MASTER DATA'!$AG:$AH,2,FALSE)),0),IFERROR(VLOOKUP((AU$8&amp;"&amp;"&amp;$V13),'MASTER DATA'!$G:$M,7,FALSE)*AU$6*(VLOOKUP(AU$8,'MASTER DATA'!$AG:$AH,2,FALSE)),0))</f>
        <v>0</v>
      </c>
      <c r="AV13" s="60">
        <f>AU13+AS13</f>
        <v>0</v>
      </c>
      <c r="AW13" s="60"/>
      <c r="AX13" s="60">
        <f>IF(AX$6="",IFERROR(VLOOKUP((AX$8&amp;"&amp;"&amp;$V13),'MASTER DATA'!$G:$M,7,FALSE)*AX$7*(VLOOKUP(AX$8,'MASTER DATA'!$AG:$AH,2,FALSE)),0),IFERROR(VLOOKUP((AX$8&amp;"&amp;"&amp;$V13),'MASTER DATA'!$G:$M,7,FALSE)*AX$6*(VLOOKUP(AX$8,'MASTER DATA'!$AG:$AH,2,FALSE)),0))</f>
        <v>0</v>
      </c>
      <c r="AY13" s="60">
        <f>AX13+AV13</f>
        <v>0</v>
      </c>
    </row>
    <row r="14" spans="1:54" x14ac:dyDescent="0.25">
      <c r="B14" s="201"/>
      <c r="C14" s="201" t="s">
        <v>119</v>
      </c>
      <c r="D14" s="106"/>
      <c r="E14" s="106"/>
      <c r="F14" s="200"/>
      <c r="G14" s="56"/>
      <c r="H14" s="57"/>
      <c r="I14" s="57"/>
      <c r="J14" s="192"/>
      <c r="K14" s="192"/>
      <c r="L14" s="198"/>
      <c r="M14" s="198"/>
      <c r="N14" s="198"/>
      <c r="O14" s="199"/>
      <c r="P14" s="198"/>
      <c r="Q14" s="199"/>
      <c r="R14" s="53"/>
      <c r="S14" s="53"/>
      <c r="T14" s="107"/>
      <c r="U14" s="27">
        <v>0.4</v>
      </c>
      <c r="V14" s="25" t="s">
        <v>65</v>
      </c>
      <c r="W14" s="36">
        <f t="shared" ref="W14:W30" si="1">SUMIF($N$15:$N$81,U14,$O$15:$O$81)</f>
        <v>0</v>
      </c>
      <c r="X14" s="36"/>
      <c r="Y14" s="203">
        <f t="shared" ref="Y14:Y30" si="2">SUMIF($N$178:$N$200,U14,$O$178:$O$200)</f>
        <v>0</v>
      </c>
      <c r="Z14" s="203">
        <f t="shared" ref="Z14:Z30" si="3">SUMIF($N$138:$N$172,U14,$O$138:$O$172)</f>
        <v>0</v>
      </c>
      <c r="AA14" s="36">
        <f t="shared" ref="AA14:AA30" si="4">SUM(W14:Z14)</f>
        <v>0</v>
      </c>
      <c r="AB14" s="38"/>
      <c r="AC14" s="60">
        <f>IF(AC$6="",IFERROR(VLOOKUP((AC$8&amp;"&amp;"&amp;$V14),'MASTER DATA'!$G:$M,7,FALSE)*AC$7*(VLOOKUP(AC$8,'MASTER DATA'!$AG:$AH,2,FALSE)),0),IFERROR(VLOOKUP((AC$8&amp;"&amp;"&amp;$V14),'MASTER DATA'!$G:$M,7,FALSE)*AC$6*(VLOOKUP(AC$8,'MASTER DATA'!$AG:$AH,2,FALSE)),0))</f>
        <v>0</v>
      </c>
      <c r="AD14" s="60">
        <f t="shared" si="0"/>
        <v>0</v>
      </c>
      <c r="AE14" s="38"/>
      <c r="AF14" s="60">
        <f>IF(AF$6="",IFERROR(VLOOKUP((AF$8&amp;"&amp;"&amp;$V14),'MASTER DATA'!$G:$M,7,FALSE)*AF$7*(VLOOKUP(AF$8,'MASTER DATA'!$AG:$AH,2,FALSE)),0),IFERROR(VLOOKUP((AF$8&amp;"&amp;"&amp;$V14),'MASTER DATA'!$G:$M,7,FALSE)*AF$6*(VLOOKUP(AF$8,'MASTER DATA'!$AG:$AH,2,FALSE)),0))</f>
        <v>0</v>
      </c>
      <c r="AG14" s="60">
        <f t="shared" ref="AG14:AG30" si="5">AF14+AD14</f>
        <v>0</v>
      </c>
      <c r="AH14" s="38"/>
      <c r="AI14" s="60">
        <f>IF(AI$6="",IFERROR(VLOOKUP((AI$8&amp;"&amp;"&amp;$V14),'MASTER DATA'!$G:$M,7,FALSE)*AI$7*(VLOOKUP(AI$8,'MASTER DATA'!$AG:$AH,2,FALSE)),0),IFERROR(VLOOKUP((AI$8&amp;"&amp;"&amp;$V14),'MASTER DATA'!$G:$M,7,FALSE)*AI$6*(VLOOKUP(AI$8,'MASTER DATA'!$AG:$AH,2,FALSE)),0))</f>
        <v>0</v>
      </c>
      <c r="AJ14" s="60">
        <f t="shared" ref="AJ14:AJ30" si="6">AI14+AG14</f>
        <v>0</v>
      </c>
      <c r="AK14" s="38"/>
      <c r="AL14" s="60">
        <f>IF(AL$6="",IFERROR(VLOOKUP((AL$8&amp;"&amp;"&amp;$V14),'MASTER DATA'!$G:$M,7,FALSE)*AL$7*(VLOOKUP(AL$8,'MASTER DATA'!$AG:$AH,2,FALSE)),0),IFERROR(VLOOKUP((AL$8&amp;"&amp;"&amp;$V14),'MASTER DATA'!$G:$M,7,FALSE)*AL$6*(VLOOKUP(AL$8,'MASTER DATA'!$AG:$AH,2,FALSE)),0))</f>
        <v>0</v>
      </c>
      <c r="AM14" s="60">
        <f t="shared" ref="AM14:AM30" si="7">AL14+AJ14</f>
        <v>0</v>
      </c>
      <c r="AN14" s="38"/>
      <c r="AO14" s="60">
        <f>IF(AO$6="",IFERROR(VLOOKUP((AO$8&amp;"&amp;"&amp;$V14),'MASTER DATA'!$G:$M,7,FALSE)*AO$7*(VLOOKUP(AO$8,'MASTER DATA'!$AG:$AH,2,FALSE)),0),IFERROR(VLOOKUP((AO$8&amp;"&amp;"&amp;$V14),'MASTER DATA'!$G:$M,7,FALSE)*AO$6*(VLOOKUP(AO$8,'MASTER DATA'!$AG:$AH,2,FALSE)),0))</f>
        <v>0</v>
      </c>
      <c r="AP14" s="60">
        <f t="shared" ref="AP14:AP30" si="8">AO14+AM14</f>
        <v>0</v>
      </c>
      <c r="AQ14" s="38"/>
      <c r="AR14" s="60">
        <f>IF(AR$6="",IFERROR(VLOOKUP((AR$8&amp;"&amp;"&amp;$V14),'MASTER DATA'!$G:$M,7,FALSE)*AR$7*(VLOOKUP(AR$8,'MASTER DATA'!$AG:$AH,2,FALSE)),0),IFERROR(VLOOKUP((AR$8&amp;"&amp;"&amp;$V14),'MASTER DATA'!$G:$M,7,FALSE)*AR$6*(VLOOKUP(AR$8,'MASTER DATA'!$AG:$AH,2,FALSE)),0))</f>
        <v>0</v>
      </c>
      <c r="AS14" s="60">
        <f t="shared" ref="AS14:AS30" si="9">AR14+AP14</f>
        <v>0</v>
      </c>
      <c r="AT14" s="38"/>
      <c r="AU14" s="60">
        <f>IF(AU$6="",IFERROR(VLOOKUP((AU$8&amp;"&amp;"&amp;$V14),'MASTER DATA'!$G:$M,7,FALSE)*AU$7*(VLOOKUP(AU$8,'MASTER DATA'!$AG:$AH,2,FALSE)),0),IFERROR(VLOOKUP((AU$8&amp;"&amp;"&amp;$V14),'MASTER DATA'!$G:$M,7,FALSE)*AU$6*(VLOOKUP(AU$8,'MASTER DATA'!$AG:$AH,2,FALSE)),0))</f>
        <v>0</v>
      </c>
      <c r="AV14" s="60">
        <f t="shared" ref="AV14:AV30" si="10">AU14+AS14</f>
        <v>0</v>
      </c>
      <c r="AW14" s="60"/>
      <c r="AX14" s="60">
        <f>IF(AX$6="",IFERROR(VLOOKUP((AX$8&amp;"&amp;"&amp;$V14),'MASTER DATA'!$G:$M,7,FALSE)*AX$7*(VLOOKUP(AX$8,'MASTER DATA'!$AG:$AH,2,FALSE)),0),IFERROR(VLOOKUP((AX$8&amp;"&amp;"&amp;$V14),'MASTER DATA'!$G:$M,7,FALSE)*AX$6*(VLOOKUP(AX$8,'MASTER DATA'!$AG:$AH,2,FALSE)),0))</f>
        <v>0</v>
      </c>
      <c r="AY14" s="60">
        <f t="shared" ref="AY14:AY30" si="11">AX14+AV14</f>
        <v>0</v>
      </c>
    </row>
    <row r="15" spans="1:54" x14ac:dyDescent="0.25">
      <c r="A15" s="71"/>
      <c r="B15" s="37"/>
      <c r="C15" s="210" t="s">
        <v>366</v>
      </c>
      <c r="D15" s="211" t="s">
        <v>367</v>
      </c>
      <c r="E15" s="212">
        <v>5.5979699999999992</v>
      </c>
      <c r="F15" s="212">
        <v>1.00868</v>
      </c>
      <c r="G15" s="211">
        <v>0</v>
      </c>
      <c r="H15" s="39">
        <f>(E15/$E$8)*G15</f>
        <v>0</v>
      </c>
      <c r="I15" s="39"/>
      <c r="J15" s="38">
        <v>0</v>
      </c>
      <c r="K15" s="38">
        <v>0</v>
      </c>
      <c r="L15" s="40">
        <f>IF(((E15-F15)+(H15)-(J15)+(K15)-I15)&lt;0,0,((E15-F15)+(H15)-(J15)+(K15)-I15))</f>
        <v>4.5892899999999992</v>
      </c>
      <c r="M15" s="40">
        <f>IF(L15&lt;0,0,L15/$E$9)</f>
        <v>0.17651115384615382</v>
      </c>
      <c r="N15" s="41">
        <f>VLOOKUP(C15,'MASTER DATA'!B:D,3,0)</f>
        <v>1</v>
      </c>
      <c r="O15" s="77">
        <f>IFERROR(IF(M15&lt;0,0,(M15*1000)/N15),0)</f>
        <v>176.51115384615383</v>
      </c>
      <c r="P15" s="42">
        <f>L15+F15+J15-K15-E15+I15</f>
        <v>0</v>
      </c>
      <c r="Q15" s="77">
        <f>P15/(E15/$E$8)</f>
        <v>0</v>
      </c>
      <c r="R15" s="38"/>
      <c r="S15" s="38"/>
      <c r="U15" s="27">
        <v>0.5</v>
      </c>
      <c r="V15" s="26" t="s">
        <v>67</v>
      </c>
      <c r="W15" s="36">
        <f t="shared" si="1"/>
        <v>0</v>
      </c>
      <c r="X15" s="36"/>
      <c r="Y15" s="203">
        <f t="shared" si="2"/>
        <v>0</v>
      </c>
      <c r="Z15" s="203">
        <f t="shared" si="3"/>
        <v>0</v>
      </c>
      <c r="AA15" s="36">
        <f t="shared" si="4"/>
        <v>0</v>
      </c>
      <c r="AB15" s="38"/>
      <c r="AC15" s="60">
        <f>IF(AC$6="",IFERROR(VLOOKUP((AC$8&amp;"&amp;"&amp;$V15),'MASTER DATA'!$G:$M,7,FALSE)*AC$7*(VLOOKUP(AC$8,'MASTER DATA'!$AG:$AH,2,FALSE)),0),IFERROR(VLOOKUP((AC$8&amp;"&amp;"&amp;$V15),'MASTER DATA'!$G:$M,7,FALSE)*AC$6*(VLOOKUP(AC$8,'MASTER DATA'!$AG:$AH,2,FALSE)),0))</f>
        <v>0</v>
      </c>
      <c r="AD15" s="60">
        <f t="shared" si="0"/>
        <v>0</v>
      </c>
      <c r="AE15" s="38"/>
      <c r="AF15" s="60">
        <f>IF(AF$6="",IFERROR(VLOOKUP((AF$8&amp;"&amp;"&amp;$V15),'MASTER DATA'!$G:$M,7,FALSE)*AF$7*(VLOOKUP(AF$8,'MASTER DATA'!$AG:$AH,2,FALSE)),0),IFERROR(VLOOKUP((AF$8&amp;"&amp;"&amp;$V15),'MASTER DATA'!$G:$M,7,FALSE)*AF$6*(VLOOKUP(AF$8,'MASTER DATA'!$AG:$AH,2,FALSE)),0))</f>
        <v>0</v>
      </c>
      <c r="AG15" s="60">
        <f t="shared" si="5"/>
        <v>0</v>
      </c>
      <c r="AH15" s="38"/>
      <c r="AI15" s="60">
        <f>IF(AI$6="",IFERROR(VLOOKUP((AI$8&amp;"&amp;"&amp;$V15),'MASTER DATA'!$G:$M,7,FALSE)*AI$7*(VLOOKUP(AI$8,'MASTER DATA'!$AG:$AH,2,FALSE)),0),IFERROR(VLOOKUP((AI$8&amp;"&amp;"&amp;$V15),'MASTER DATA'!$G:$M,7,FALSE)*AI$6*(VLOOKUP(AI$8,'MASTER DATA'!$AG:$AH,2,FALSE)),0))</f>
        <v>0</v>
      </c>
      <c r="AJ15" s="60">
        <f t="shared" si="6"/>
        <v>0</v>
      </c>
      <c r="AK15" s="38"/>
      <c r="AL15" s="60">
        <f>IF(AL$6="",IFERROR(VLOOKUP((AL$8&amp;"&amp;"&amp;$V15),'MASTER DATA'!$G:$M,7,FALSE)*AL$7*(VLOOKUP(AL$8,'MASTER DATA'!$AG:$AH,2,FALSE)),0),IFERROR(VLOOKUP((AL$8&amp;"&amp;"&amp;$V15),'MASTER DATA'!$G:$M,7,FALSE)*AL$6*(VLOOKUP(AL$8,'MASTER DATA'!$AG:$AH,2,FALSE)),0))</f>
        <v>0</v>
      </c>
      <c r="AM15" s="60">
        <f t="shared" si="7"/>
        <v>0</v>
      </c>
      <c r="AN15" s="38"/>
      <c r="AO15" s="60">
        <f>IF(AO$6="",IFERROR(VLOOKUP((AO$8&amp;"&amp;"&amp;$V15),'MASTER DATA'!$G:$M,7,FALSE)*AO$7*(VLOOKUP(AO$8,'MASTER DATA'!$AG:$AH,2,FALSE)),0),IFERROR(VLOOKUP((AO$8&amp;"&amp;"&amp;$V15),'MASTER DATA'!$G:$M,7,FALSE)*AO$6*(VLOOKUP(AO$8,'MASTER DATA'!$AG:$AH,2,FALSE)),0))</f>
        <v>0</v>
      </c>
      <c r="AP15" s="60">
        <f t="shared" si="8"/>
        <v>0</v>
      </c>
      <c r="AQ15" s="38"/>
      <c r="AR15" s="60">
        <f>IF(AR$6="",IFERROR(VLOOKUP((AR$8&amp;"&amp;"&amp;$V15),'MASTER DATA'!$G:$M,7,FALSE)*AR$7*(VLOOKUP(AR$8,'MASTER DATA'!$AG:$AH,2,FALSE)),0),IFERROR(VLOOKUP((AR$8&amp;"&amp;"&amp;$V15),'MASTER DATA'!$G:$M,7,FALSE)*AR$6*(VLOOKUP(AR$8,'MASTER DATA'!$AG:$AH,2,FALSE)),0))</f>
        <v>0</v>
      </c>
      <c r="AS15" s="60">
        <f t="shared" si="9"/>
        <v>0</v>
      </c>
      <c r="AT15" s="38"/>
      <c r="AU15" s="60">
        <f>IF(AU$6="",IFERROR(VLOOKUP((AU$8&amp;"&amp;"&amp;$V15),'MASTER DATA'!$G:$M,7,FALSE)*AU$7*(VLOOKUP(AU$8,'MASTER DATA'!$AG:$AH,2,FALSE)),0),IFERROR(VLOOKUP((AU$8&amp;"&amp;"&amp;$V15),'MASTER DATA'!$G:$M,7,FALSE)*AU$6*(VLOOKUP(AU$8,'MASTER DATA'!$AG:$AH,2,FALSE)),0))</f>
        <v>0</v>
      </c>
      <c r="AV15" s="60">
        <f t="shared" si="10"/>
        <v>0</v>
      </c>
      <c r="AW15" s="60"/>
      <c r="AX15" s="60">
        <f>IF(AX$6="",IFERROR(VLOOKUP((AX$8&amp;"&amp;"&amp;$V15),'MASTER DATA'!$G:$M,7,FALSE)*AX$7*(VLOOKUP(AX$8,'MASTER DATA'!$AG:$AH,2,FALSE)),0),IFERROR(VLOOKUP((AX$8&amp;"&amp;"&amp;$V15),'MASTER DATA'!$G:$M,7,FALSE)*AX$6*(VLOOKUP(AX$8,'MASTER DATA'!$AG:$AH,2,FALSE)),0))</f>
        <v>0</v>
      </c>
      <c r="AY15" s="60">
        <f t="shared" si="11"/>
        <v>0</v>
      </c>
    </row>
    <row r="16" spans="1:54" x14ac:dyDescent="0.25">
      <c r="A16" s="71"/>
      <c r="B16" s="38"/>
      <c r="C16" s="211" t="s">
        <v>368</v>
      </c>
      <c r="D16" s="211" t="s">
        <v>369</v>
      </c>
      <c r="E16" s="212">
        <v>0.6</v>
      </c>
      <c r="F16" s="212">
        <v>0.18462000000000001</v>
      </c>
      <c r="G16" s="211">
        <v>0</v>
      </c>
      <c r="H16" s="39">
        <f t="shared" ref="H16:H78" si="12">(E16/$E$8)*G16</f>
        <v>0</v>
      </c>
      <c r="I16" s="39"/>
      <c r="J16" s="38">
        <v>0</v>
      </c>
      <c r="K16" s="38">
        <v>0</v>
      </c>
      <c r="L16" s="40">
        <f t="shared" ref="L16:L30" si="13">IF(((E16-F16)+(H16)-(J16)+(K16)-I16)&lt;0,0,((E16-F16)+(H16)-(J16)+(K16)-I16))</f>
        <v>0.41537999999999997</v>
      </c>
      <c r="M16" s="40">
        <f t="shared" ref="M16:M78" si="14">IF(L16&lt;0,0,L16/$E$9)</f>
        <v>1.5976153846153845E-2</v>
      </c>
      <c r="N16" s="41">
        <f>VLOOKUP(C16,'MASTER DATA'!B:D,3,0)</f>
        <v>0.9</v>
      </c>
      <c r="O16" s="77">
        <f t="shared" ref="O16:O78" si="15">IFERROR(IF(M16&lt;0,0,(M16*1000)/N16),0)</f>
        <v>17.751282051282047</v>
      </c>
      <c r="P16" s="42">
        <f t="shared" ref="P16:P78" si="16">L16+F16+J16-K16-E16+I16</f>
        <v>0</v>
      </c>
      <c r="Q16" s="77">
        <f t="shared" ref="Q16:Q79" si="17">P16/(E16/$E$8)</f>
        <v>0</v>
      </c>
      <c r="R16" s="38"/>
      <c r="S16" s="38"/>
      <c r="U16" s="27">
        <v>0.6</v>
      </c>
      <c r="V16" s="25" t="s">
        <v>68</v>
      </c>
      <c r="W16" s="36">
        <f t="shared" si="1"/>
        <v>0</v>
      </c>
      <c r="X16" s="36"/>
      <c r="Y16" s="203">
        <f t="shared" si="2"/>
        <v>0</v>
      </c>
      <c r="Z16" s="203">
        <f t="shared" si="3"/>
        <v>0</v>
      </c>
      <c r="AA16" s="36">
        <f t="shared" si="4"/>
        <v>0</v>
      </c>
      <c r="AB16" s="38"/>
      <c r="AC16" s="60">
        <f>IF(AC$6="",IFERROR(VLOOKUP((AC$8&amp;"&amp;"&amp;$V16),'MASTER DATA'!$G:$M,7,FALSE)*AC$7*(VLOOKUP(AC$8,'MASTER DATA'!$AG:$AH,2,FALSE)),0),IFERROR(VLOOKUP((AC$8&amp;"&amp;"&amp;$V16),'MASTER DATA'!$G:$M,7,FALSE)*AC$6*(VLOOKUP(AC$8,'MASTER DATA'!$AG:$AH,2,FALSE)),0))</f>
        <v>153.6</v>
      </c>
      <c r="AD16" s="60">
        <f t="shared" si="0"/>
        <v>153.6</v>
      </c>
      <c r="AE16" s="38"/>
      <c r="AF16" s="60">
        <f>IF(AF$6="",IFERROR(VLOOKUP((AF$8&amp;"&amp;"&amp;$V16),'MASTER DATA'!$G:$M,7,FALSE)*AF$7*(VLOOKUP(AF$8,'MASTER DATA'!$AG:$AH,2,FALSE)),0),IFERROR(VLOOKUP((AF$8&amp;"&amp;"&amp;$V16),'MASTER DATA'!$G:$M,7,FALSE)*AF$6*(VLOOKUP(AF$8,'MASTER DATA'!$AG:$AH,2,FALSE)),0))</f>
        <v>0</v>
      </c>
      <c r="AG16" s="60">
        <f t="shared" si="5"/>
        <v>153.6</v>
      </c>
      <c r="AH16" s="38"/>
      <c r="AI16" s="60">
        <f>IF(AI$6="",IFERROR(VLOOKUP((AI$8&amp;"&amp;"&amp;$V16),'MASTER DATA'!$G:$M,7,FALSE)*AI$7*(VLOOKUP(AI$8,'MASTER DATA'!$AG:$AH,2,FALSE)),0),IFERROR(VLOOKUP((AI$8&amp;"&amp;"&amp;$V16),'MASTER DATA'!$G:$M,7,FALSE)*AI$6*(VLOOKUP(AI$8,'MASTER DATA'!$AG:$AH,2,FALSE)),0))</f>
        <v>0</v>
      </c>
      <c r="AJ16" s="60">
        <f t="shared" si="6"/>
        <v>153.6</v>
      </c>
      <c r="AK16" s="38"/>
      <c r="AL16" s="60">
        <f>IF(AL$6="",IFERROR(VLOOKUP((AL$8&amp;"&amp;"&amp;$V16),'MASTER DATA'!$G:$M,7,FALSE)*AL$7*(VLOOKUP(AL$8,'MASTER DATA'!$AG:$AH,2,FALSE)),0),IFERROR(VLOOKUP((AL$8&amp;"&amp;"&amp;$V16),'MASTER DATA'!$G:$M,7,FALSE)*AL$6*(VLOOKUP(AL$8,'MASTER DATA'!$AG:$AH,2,FALSE)),0))</f>
        <v>0</v>
      </c>
      <c r="AM16" s="60">
        <f t="shared" si="7"/>
        <v>153.6</v>
      </c>
      <c r="AN16" s="38"/>
      <c r="AO16" s="60">
        <f>IF(AO$6="",IFERROR(VLOOKUP((AO$8&amp;"&amp;"&amp;$V16),'MASTER DATA'!$G:$M,7,FALSE)*AO$7*(VLOOKUP(AO$8,'MASTER DATA'!$AG:$AH,2,FALSE)),0),IFERROR(VLOOKUP((AO$8&amp;"&amp;"&amp;$V16),'MASTER DATA'!$G:$M,7,FALSE)*AO$6*(VLOOKUP(AO$8,'MASTER DATA'!$AG:$AH,2,FALSE)),0))</f>
        <v>0</v>
      </c>
      <c r="AP16" s="60">
        <f t="shared" si="8"/>
        <v>153.6</v>
      </c>
      <c r="AQ16" s="38"/>
      <c r="AR16" s="60">
        <f>IF(AR$6="",IFERROR(VLOOKUP((AR$8&amp;"&amp;"&amp;$V16),'MASTER DATA'!$G:$M,7,FALSE)*AR$7*(VLOOKUP(AR$8,'MASTER DATA'!$AG:$AH,2,FALSE)),0),IFERROR(VLOOKUP((AR$8&amp;"&amp;"&amp;$V16),'MASTER DATA'!$G:$M,7,FALSE)*AR$6*(VLOOKUP(AR$8,'MASTER DATA'!$AG:$AH,2,FALSE)),0))</f>
        <v>0</v>
      </c>
      <c r="AS16" s="60">
        <f t="shared" si="9"/>
        <v>153.6</v>
      </c>
      <c r="AT16" s="38"/>
      <c r="AU16" s="60">
        <f>IF(AU$6="",IFERROR(VLOOKUP((AU$8&amp;"&amp;"&amp;$V16),'MASTER DATA'!$G:$M,7,FALSE)*AU$7*(VLOOKUP(AU$8,'MASTER DATA'!$AG:$AH,2,FALSE)),0),IFERROR(VLOOKUP((AU$8&amp;"&amp;"&amp;$V16),'MASTER DATA'!$G:$M,7,FALSE)*AU$6*(VLOOKUP(AU$8,'MASTER DATA'!$AG:$AH,2,FALSE)),0))</f>
        <v>0</v>
      </c>
      <c r="AV16" s="60">
        <f t="shared" si="10"/>
        <v>153.6</v>
      </c>
      <c r="AW16" s="60"/>
      <c r="AX16" s="60">
        <f>IF(AX$6="",IFERROR(VLOOKUP((AX$8&amp;"&amp;"&amp;$V16),'MASTER DATA'!$G:$M,7,FALSE)*AX$7*(VLOOKUP(AX$8,'MASTER DATA'!$AG:$AH,2,FALSE)),0),IFERROR(VLOOKUP((AX$8&amp;"&amp;"&amp;$V16),'MASTER DATA'!$G:$M,7,FALSE)*AX$6*(VLOOKUP(AX$8,'MASTER DATA'!$AG:$AH,2,FALSE)),0))</f>
        <v>0</v>
      </c>
      <c r="AY16" s="60">
        <f t="shared" si="11"/>
        <v>153.6</v>
      </c>
    </row>
    <row r="17" spans="1:51" x14ac:dyDescent="0.25">
      <c r="A17" s="71"/>
      <c r="B17" s="38"/>
      <c r="C17" s="211" t="s">
        <v>370</v>
      </c>
      <c r="D17" s="211" t="s">
        <v>371</v>
      </c>
      <c r="E17" s="212">
        <v>1.2</v>
      </c>
      <c r="F17" s="212">
        <v>0</v>
      </c>
      <c r="G17" s="211">
        <v>0</v>
      </c>
      <c r="H17" s="39">
        <f t="shared" si="12"/>
        <v>0</v>
      </c>
      <c r="I17" s="39"/>
      <c r="J17" s="38">
        <v>0</v>
      </c>
      <c r="K17" s="38">
        <v>0</v>
      </c>
      <c r="L17" s="40">
        <f t="shared" si="13"/>
        <v>1.2</v>
      </c>
      <c r="M17" s="40">
        <f t="shared" si="14"/>
        <v>4.6153846153846149E-2</v>
      </c>
      <c r="N17" s="41">
        <f>VLOOKUP(C17,'MASTER DATA'!B:D,3,0)</f>
        <v>0.9</v>
      </c>
      <c r="O17" s="77">
        <f t="shared" si="15"/>
        <v>51.28205128205127</v>
      </c>
      <c r="P17" s="42">
        <f t="shared" si="16"/>
        <v>0</v>
      </c>
      <c r="Q17" s="77">
        <f t="shared" si="17"/>
        <v>0</v>
      </c>
      <c r="R17" s="38"/>
      <c r="S17" s="38"/>
      <c r="U17" s="27">
        <v>0.7</v>
      </c>
      <c r="V17" s="26" t="s">
        <v>70</v>
      </c>
      <c r="W17" s="36">
        <f t="shared" si="1"/>
        <v>0</v>
      </c>
      <c r="X17" s="36"/>
      <c r="Y17" s="203">
        <f t="shared" si="2"/>
        <v>0</v>
      </c>
      <c r="Z17" s="203">
        <f t="shared" si="3"/>
        <v>0</v>
      </c>
      <c r="AA17" s="36">
        <f t="shared" si="4"/>
        <v>0</v>
      </c>
      <c r="AB17" s="53"/>
      <c r="AC17" s="60">
        <f>IF(AC$6="",IFERROR(VLOOKUP((AC$8&amp;"&amp;"&amp;$V17),'MASTER DATA'!$G:$M,7,FALSE)*AC$7*(VLOOKUP(AC$8,'MASTER DATA'!$AG:$AH,2,FALSE)),0),IFERROR(VLOOKUP((AC$8&amp;"&amp;"&amp;$V17),'MASTER DATA'!$G:$M,7,FALSE)*AC$6*(VLOOKUP(AC$8,'MASTER DATA'!$AG:$AH,2,FALSE)),0))</f>
        <v>768</v>
      </c>
      <c r="AD17" s="60">
        <f t="shared" si="0"/>
        <v>768</v>
      </c>
      <c r="AE17" s="53"/>
      <c r="AF17" s="60">
        <f>IF(AF$6="",IFERROR(VLOOKUP((AF$8&amp;"&amp;"&amp;$V17),'MASTER DATA'!$G:$M,7,FALSE)*AF$7*(VLOOKUP(AF$8,'MASTER DATA'!$AG:$AH,2,FALSE)),0),IFERROR(VLOOKUP((AF$8&amp;"&amp;"&amp;$V17),'MASTER DATA'!$G:$M,7,FALSE)*AF$6*(VLOOKUP(AF$8,'MASTER DATA'!$AG:$AH,2,FALSE)),0))</f>
        <v>211.2</v>
      </c>
      <c r="AG17" s="60">
        <f t="shared" si="5"/>
        <v>979.2</v>
      </c>
      <c r="AH17" s="53"/>
      <c r="AI17" s="60">
        <f>IF(AI$6="",IFERROR(VLOOKUP((AI$8&amp;"&amp;"&amp;$V17),'MASTER DATA'!$G:$M,7,FALSE)*AI$7*(VLOOKUP(AI$8,'MASTER DATA'!$AG:$AH,2,FALSE)),0),IFERROR(VLOOKUP((AI$8&amp;"&amp;"&amp;$V17),'MASTER DATA'!$G:$M,7,FALSE)*AI$6*(VLOOKUP(AI$8,'MASTER DATA'!$AG:$AH,2,FALSE)),0))</f>
        <v>0</v>
      </c>
      <c r="AJ17" s="60">
        <f t="shared" si="6"/>
        <v>979.2</v>
      </c>
      <c r="AK17" s="53"/>
      <c r="AL17" s="60">
        <f>IF(AL$6="",IFERROR(VLOOKUP((AL$8&amp;"&amp;"&amp;$V17),'MASTER DATA'!$G:$M,7,FALSE)*AL$7*(VLOOKUP(AL$8,'MASTER DATA'!$AG:$AH,2,FALSE)),0),IFERROR(VLOOKUP((AL$8&amp;"&amp;"&amp;$V17),'MASTER DATA'!$G:$M,7,FALSE)*AL$6*(VLOOKUP(AL$8,'MASTER DATA'!$AG:$AH,2,FALSE)),0))</f>
        <v>0</v>
      </c>
      <c r="AM17" s="60">
        <f t="shared" si="7"/>
        <v>979.2</v>
      </c>
      <c r="AN17" s="53"/>
      <c r="AO17" s="60">
        <f>IF(AO$6="",IFERROR(VLOOKUP((AO$8&amp;"&amp;"&amp;$V17),'MASTER DATA'!$G:$M,7,FALSE)*AO$7*(VLOOKUP(AO$8,'MASTER DATA'!$AG:$AH,2,FALSE)),0),IFERROR(VLOOKUP((AO$8&amp;"&amp;"&amp;$V17),'MASTER DATA'!$G:$M,7,FALSE)*AO$6*(VLOOKUP(AO$8,'MASTER DATA'!$AG:$AH,2,FALSE)),0))</f>
        <v>0</v>
      </c>
      <c r="AP17" s="60">
        <f t="shared" si="8"/>
        <v>979.2</v>
      </c>
      <c r="AQ17" s="53"/>
      <c r="AR17" s="60">
        <f>IF(AR$6="",IFERROR(VLOOKUP((AR$8&amp;"&amp;"&amp;$V17),'MASTER DATA'!$G:$M,7,FALSE)*AR$7*(VLOOKUP(AR$8,'MASTER DATA'!$AG:$AH,2,FALSE)),0),IFERROR(VLOOKUP((AR$8&amp;"&amp;"&amp;$V17),'MASTER DATA'!$G:$M,7,FALSE)*AR$6*(VLOOKUP(AR$8,'MASTER DATA'!$AG:$AH,2,FALSE)),0))</f>
        <v>0</v>
      </c>
      <c r="AS17" s="60">
        <f t="shared" si="9"/>
        <v>979.2</v>
      </c>
      <c r="AT17" s="53"/>
      <c r="AU17" s="60">
        <f>IF(AU$6="",IFERROR(VLOOKUP((AU$8&amp;"&amp;"&amp;$V17),'MASTER DATA'!$G:$M,7,FALSE)*AU$7*(VLOOKUP(AU$8,'MASTER DATA'!$AG:$AH,2,FALSE)),0),IFERROR(VLOOKUP((AU$8&amp;"&amp;"&amp;$V17),'MASTER DATA'!$G:$M,7,FALSE)*AU$6*(VLOOKUP(AU$8,'MASTER DATA'!$AG:$AH,2,FALSE)),0))</f>
        <v>0</v>
      </c>
      <c r="AV17" s="60">
        <f t="shared" si="10"/>
        <v>979.2</v>
      </c>
      <c r="AW17" s="76"/>
      <c r="AX17" s="60">
        <f>IF(AX$6="",IFERROR(VLOOKUP((AX$8&amp;"&amp;"&amp;$V17),'MASTER DATA'!$G:$M,7,FALSE)*AX$7*(VLOOKUP(AX$8,'MASTER DATA'!$AG:$AH,2,FALSE)),0),IFERROR(VLOOKUP((AX$8&amp;"&amp;"&amp;$V17),'MASTER DATA'!$G:$M,7,FALSE)*AX$6*(VLOOKUP(AX$8,'MASTER DATA'!$AG:$AH,2,FALSE)),0))</f>
        <v>0</v>
      </c>
      <c r="AY17" s="60">
        <f t="shared" si="11"/>
        <v>979.2</v>
      </c>
    </row>
    <row r="18" spans="1:51" x14ac:dyDescent="0.25">
      <c r="A18" s="71"/>
      <c r="B18" s="38"/>
      <c r="C18" s="211" t="s">
        <v>2</v>
      </c>
      <c r="D18" s="211" t="s">
        <v>3</v>
      </c>
      <c r="E18" s="212">
        <v>4.6011999999999995</v>
      </c>
      <c r="F18" s="212">
        <v>0.85963000000000001</v>
      </c>
      <c r="G18" s="211">
        <v>7</v>
      </c>
      <c r="H18" s="39">
        <f t="shared" si="12"/>
        <v>1.2387846153846152</v>
      </c>
      <c r="I18" s="39"/>
      <c r="J18" s="38">
        <v>0</v>
      </c>
      <c r="K18" s="38">
        <v>0</v>
      </c>
      <c r="L18" s="40">
        <f t="shared" si="13"/>
        <v>4.9803546153846145</v>
      </c>
      <c r="M18" s="40">
        <f t="shared" si="14"/>
        <v>0.19155210059171596</v>
      </c>
      <c r="N18" s="41">
        <f>VLOOKUP(C18,'MASTER DATA'!B:D,3,0)</f>
        <v>1</v>
      </c>
      <c r="O18" s="77">
        <f t="shared" si="15"/>
        <v>191.55210059171597</v>
      </c>
      <c r="P18" s="42">
        <f>L18+F18+J18-K18-E18+I18</f>
        <v>1.2387846153846152</v>
      </c>
      <c r="Q18" s="77">
        <f>P18/(E18/$E$8)</f>
        <v>7</v>
      </c>
      <c r="R18" s="38"/>
      <c r="S18" s="38"/>
      <c r="U18" s="27">
        <v>0.8</v>
      </c>
      <c r="V18" s="24" t="s">
        <v>72</v>
      </c>
      <c r="W18" s="19">
        <f>SUMIF($N$15:$N$81,U18,$O$15:$O$81)</f>
        <v>393.33860946745557</v>
      </c>
      <c r="X18" s="19"/>
      <c r="Y18" s="203">
        <f t="shared" si="2"/>
        <v>0</v>
      </c>
      <c r="Z18" s="203">
        <f t="shared" si="3"/>
        <v>0</v>
      </c>
      <c r="AA18" s="19">
        <f t="shared" si="4"/>
        <v>393.33860946745557</v>
      </c>
      <c r="AB18" s="38"/>
      <c r="AC18" s="60">
        <f>IF(AC$6="",IFERROR(VLOOKUP((AC$8&amp;"&amp;"&amp;$V18),'MASTER DATA'!$G:$M,7,FALSE)*AC$7*(VLOOKUP(AC$8,'MASTER DATA'!$AG:$AH,2,FALSE)),0),IFERROR(VLOOKUP((AC$8&amp;"&amp;"&amp;$V18),'MASTER DATA'!$G:$M,7,FALSE)*AC$6*(VLOOKUP(AC$8,'MASTER DATA'!$AG:$AH,2,FALSE)),0))</f>
        <v>2150.4</v>
      </c>
      <c r="AD18" s="60">
        <f t="shared" si="0"/>
        <v>1757.0613905325445</v>
      </c>
      <c r="AE18" s="38"/>
      <c r="AF18" s="60">
        <f>IF(AF$6="",IFERROR(VLOOKUP((AF$8&amp;"&amp;"&amp;$V18),'MASTER DATA'!$G:$M,7,FALSE)*AF$7*(VLOOKUP(AF$8,'MASTER DATA'!$AG:$AH,2,FALSE)),0),IFERROR(VLOOKUP((AF$8&amp;"&amp;"&amp;$V18),'MASTER DATA'!$G:$M,7,FALSE)*AF$6*(VLOOKUP(AF$8,'MASTER DATA'!$AG:$AH,2,FALSE)),0))</f>
        <v>211.2</v>
      </c>
      <c r="AG18" s="60">
        <f t="shared" si="5"/>
        <v>1968.2613905325445</v>
      </c>
      <c r="AH18" s="38"/>
      <c r="AI18" s="60">
        <f>IF(AI$6="",IFERROR(VLOOKUP((AI$8&amp;"&amp;"&amp;$V18),'MASTER DATA'!$G:$M,7,FALSE)*AI$7*(VLOOKUP(AI$8,'MASTER DATA'!$AG:$AH,2,FALSE)),0),IFERROR(VLOOKUP((AI$8&amp;"&amp;"&amp;$V18),'MASTER DATA'!$G:$M,7,FALSE)*AI$6*(VLOOKUP(AI$8,'MASTER DATA'!$AG:$AH,2,FALSE)),0))</f>
        <v>0</v>
      </c>
      <c r="AJ18" s="60">
        <f t="shared" si="6"/>
        <v>1968.2613905325445</v>
      </c>
      <c r="AK18" s="38"/>
      <c r="AL18" s="60">
        <f>IF(AL$6="",IFERROR(VLOOKUP((AL$8&amp;"&amp;"&amp;$V18),'MASTER DATA'!$G:$M,7,FALSE)*AL$7*(VLOOKUP(AL$8,'MASTER DATA'!$AG:$AH,2,FALSE)),0),IFERROR(VLOOKUP((AL$8&amp;"&amp;"&amp;$V18),'MASTER DATA'!$G:$M,7,FALSE)*AL$6*(VLOOKUP(AL$8,'MASTER DATA'!$AG:$AH,2,FALSE)),0))</f>
        <v>0</v>
      </c>
      <c r="AM18" s="60">
        <f t="shared" si="7"/>
        <v>1968.2613905325445</v>
      </c>
      <c r="AN18" s="38"/>
      <c r="AO18" s="60">
        <f>IF(AO$6="",IFERROR(VLOOKUP((AO$8&amp;"&amp;"&amp;$V18),'MASTER DATA'!$G:$M,7,FALSE)*AO$7*(VLOOKUP(AO$8,'MASTER DATA'!$AG:$AH,2,FALSE)),0),IFERROR(VLOOKUP((AO$8&amp;"&amp;"&amp;$V18),'MASTER DATA'!$G:$M,7,FALSE)*AO$6*(VLOOKUP(AO$8,'MASTER DATA'!$AG:$AH,2,FALSE)),0))</f>
        <v>0</v>
      </c>
      <c r="AP18" s="60">
        <f t="shared" si="8"/>
        <v>1968.2613905325445</v>
      </c>
      <c r="AQ18" s="38"/>
      <c r="AR18" s="60">
        <f>IF(AR$6="",IFERROR(VLOOKUP((AR$8&amp;"&amp;"&amp;$V18),'MASTER DATA'!$G:$M,7,FALSE)*AR$7*(VLOOKUP(AR$8,'MASTER DATA'!$AG:$AH,2,FALSE)),0),IFERROR(VLOOKUP((AR$8&amp;"&amp;"&amp;$V18),'MASTER DATA'!$G:$M,7,FALSE)*AR$6*(VLOOKUP(AR$8,'MASTER DATA'!$AG:$AH,2,FALSE)),0))</f>
        <v>0</v>
      </c>
      <c r="AS18" s="60">
        <f t="shared" si="9"/>
        <v>1968.2613905325445</v>
      </c>
      <c r="AT18" s="38"/>
      <c r="AU18" s="60">
        <f>IF(AU$6="",IFERROR(VLOOKUP((AU$8&amp;"&amp;"&amp;$V18),'MASTER DATA'!$G:$M,7,FALSE)*AU$7*(VLOOKUP(AU$8,'MASTER DATA'!$AG:$AH,2,FALSE)),0),IFERROR(VLOOKUP((AU$8&amp;"&amp;"&amp;$V18),'MASTER DATA'!$G:$M,7,FALSE)*AU$6*(VLOOKUP(AU$8,'MASTER DATA'!$AG:$AH,2,FALSE)),0))</f>
        <v>0</v>
      </c>
      <c r="AV18" s="60">
        <f t="shared" si="10"/>
        <v>1968.2613905325445</v>
      </c>
      <c r="AW18" s="60"/>
      <c r="AX18" s="60">
        <f>IF(AX$6="",IFERROR(VLOOKUP((AX$8&amp;"&amp;"&amp;$V18),'MASTER DATA'!$G:$M,7,FALSE)*AX$7*(VLOOKUP(AX$8,'MASTER DATA'!$AG:$AH,2,FALSE)),0),IFERROR(VLOOKUP((AX$8&amp;"&amp;"&amp;$V18),'MASTER DATA'!$G:$M,7,FALSE)*AX$6*(VLOOKUP(AX$8,'MASTER DATA'!$AG:$AH,2,FALSE)),0))</f>
        <v>0</v>
      </c>
      <c r="AY18" s="60">
        <f t="shared" si="11"/>
        <v>1968.2613905325445</v>
      </c>
    </row>
    <row r="19" spans="1:51" x14ac:dyDescent="0.25">
      <c r="A19" s="71"/>
      <c r="B19" s="38"/>
      <c r="C19" s="211" t="s">
        <v>519</v>
      </c>
      <c r="D19" s="211" t="s">
        <v>520</v>
      </c>
      <c r="E19" s="212">
        <v>1.35</v>
      </c>
      <c r="F19" s="212">
        <v>2.06488</v>
      </c>
      <c r="G19" s="211">
        <v>14</v>
      </c>
      <c r="H19" s="39">
        <f t="shared" si="12"/>
        <v>0.72692307692307701</v>
      </c>
      <c r="I19" s="39"/>
      <c r="J19" s="38">
        <v>0</v>
      </c>
      <c r="K19" s="38">
        <v>0</v>
      </c>
      <c r="L19" s="40">
        <f>IF(((E19-F19)+(H19)-(J19)+(K19)-I19)&lt;0,0,((E19-F19)+(H19)-(J19)+(K19)-I19))</f>
        <v>1.2043076923077045E-2</v>
      </c>
      <c r="M19" s="40">
        <f t="shared" si="14"/>
        <v>4.6319526627219403E-4</v>
      </c>
      <c r="N19" s="41">
        <f>VLOOKUP(C19,'MASTER DATA'!B:D,3,0)</f>
        <v>1.3</v>
      </c>
      <c r="O19" s="77">
        <f t="shared" si="15"/>
        <v>0.35630405097861079</v>
      </c>
      <c r="P19" s="42">
        <f t="shared" si="16"/>
        <v>0.72692307692307701</v>
      </c>
      <c r="Q19" s="77">
        <f t="shared" si="17"/>
        <v>14</v>
      </c>
      <c r="R19" s="38"/>
      <c r="S19" s="38"/>
      <c r="U19" s="27">
        <v>0.9</v>
      </c>
      <c r="V19" s="18" t="s">
        <v>73</v>
      </c>
      <c r="W19" s="19">
        <f t="shared" si="1"/>
        <v>638.77666009204472</v>
      </c>
      <c r="X19" s="19"/>
      <c r="Y19" s="203">
        <f t="shared" si="2"/>
        <v>0</v>
      </c>
      <c r="Z19" s="203">
        <f t="shared" si="3"/>
        <v>0</v>
      </c>
      <c r="AA19" s="19">
        <f t="shared" si="4"/>
        <v>638.77666009204472</v>
      </c>
      <c r="AB19" s="38"/>
      <c r="AC19" s="60">
        <f>IF(AC$6="",IFERROR(VLOOKUP((AC$8&amp;"&amp;"&amp;$V19),'MASTER DATA'!$G:$M,7,FALSE)*AC$7*(VLOOKUP(AC$8,'MASTER DATA'!$AG:$AH,2,FALSE)),0),IFERROR(VLOOKUP((AC$8&amp;"&amp;"&amp;$V19),'MASTER DATA'!$G:$M,7,FALSE)*AC$6*(VLOOKUP(AC$8,'MASTER DATA'!$AG:$AH,2,FALSE)),0))</f>
        <v>4147.2000000000007</v>
      </c>
      <c r="AD19" s="60">
        <f t="shared" si="0"/>
        <v>3508.4233399079558</v>
      </c>
      <c r="AE19" s="38"/>
      <c r="AF19" s="60">
        <f>IF(AF$6="",IFERROR(VLOOKUP((AF$8&amp;"&amp;"&amp;$V19),'MASTER DATA'!$G:$M,7,FALSE)*AF$7*(VLOOKUP(AF$8,'MASTER DATA'!$AG:$AH,2,FALSE)),0),IFERROR(VLOOKUP((AF$8&amp;"&amp;"&amp;$V19),'MASTER DATA'!$G:$M,7,FALSE)*AF$6*(VLOOKUP(AF$8,'MASTER DATA'!$AG:$AH,2,FALSE)),0))</f>
        <v>1478.4</v>
      </c>
      <c r="AG19" s="60">
        <f t="shared" si="5"/>
        <v>4986.8233399079563</v>
      </c>
      <c r="AH19" s="38"/>
      <c r="AI19" s="60">
        <f>IF(AI$6="",IFERROR(VLOOKUP((AI$8&amp;"&amp;"&amp;$V19),'MASTER DATA'!$G:$M,7,FALSE)*AI$7*(VLOOKUP(AI$8,'MASTER DATA'!$AG:$AH,2,FALSE)),0),IFERROR(VLOOKUP((AI$8&amp;"&amp;"&amp;$V19),'MASTER DATA'!$G:$M,7,FALSE)*AI$6*(VLOOKUP(AI$8,'MASTER DATA'!$AG:$AH,2,FALSE)),0))</f>
        <v>0</v>
      </c>
      <c r="AJ19" s="60">
        <f t="shared" si="6"/>
        <v>4986.8233399079563</v>
      </c>
      <c r="AK19" s="38"/>
      <c r="AL19" s="60">
        <f>IF(AL$6="",IFERROR(VLOOKUP((AL$8&amp;"&amp;"&amp;$V19),'MASTER DATA'!$G:$M,7,FALSE)*AL$7*(VLOOKUP(AL$8,'MASTER DATA'!$AG:$AH,2,FALSE)),0),IFERROR(VLOOKUP((AL$8&amp;"&amp;"&amp;$V19),'MASTER DATA'!$G:$M,7,FALSE)*AL$6*(VLOOKUP(AL$8,'MASTER DATA'!$AG:$AH,2,FALSE)),0))</f>
        <v>0</v>
      </c>
      <c r="AM19" s="60">
        <f t="shared" si="7"/>
        <v>4986.8233399079563</v>
      </c>
      <c r="AN19" s="38"/>
      <c r="AO19" s="60">
        <f>IF(AO$6="",IFERROR(VLOOKUP((AO$8&amp;"&amp;"&amp;$V19),'MASTER DATA'!$G:$M,7,FALSE)*AO$7*(VLOOKUP(AO$8,'MASTER DATA'!$AG:$AH,2,FALSE)),0),IFERROR(VLOOKUP((AO$8&amp;"&amp;"&amp;$V19),'MASTER DATA'!$G:$M,7,FALSE)*AO$6*(VLOOKUP(AO$8,'MASTER DATA'!$AG:$AH,2,FALSE)),0))</f>
        <v>0</v>
      </c>
      <c r="AP19" s="60">
        <f t="shared" si="8"/>
        <v>4986.8233399079563</v>
      </c>
      <c r="AQ19" s="38"/>
      <c r="AR19" s="60">
        <f>IF(AR$6="",IFERROR(VLOOKUP((AR$8&amp;"&amp;"&amp;$V19),'MASTER DATA'!$G:$M,7,FALSE)*AR$7*(VLOOKUP(AR$8,'MASTER DATA'!$AG:$AH,2,FALSE)),0),IFERROR(VLOOKUP((AR$8&amp;"&amp;"&amp;$V19),'MASTER DATA'!$G:$M,7,FALSE)*AR$6*(VLOOKUP(AR$8,'MASTER DATA'!$AG:$AH,2,FALSE)),0))</f>
        <v>0</v>
      </c>
      <c r="AS19" s="60">
        <f t="shared" si="9"/>
        <v>4986.8233399079563</v>
      </c>
      <c r="AT19" s="38"/>
      <c r="AU19" s="60">
        <f>IF(AU$6="",IFERROR(VLOOKUP((AU$8&amp;"&amp;"&amp;$V19),'MASTER DATA'!$G:$M,7,FALSE)*AU$7*(VLOOKUP(AU$8,'MASTER DATA'!$AG:$AH,2,FALSE)),0),IFERROR(VLOOKUP((AU$8&amp;"&amp;"&amp;$V19),'MASTER DATA'!$G:$M,7,FALSE)*AU$6*(VLOOKUP(AU$8,'MASTER DATA'!$AG:$AH,2,FALSE)),0))</f>
        <v>0</v>
      </c>
      <c r="AV19" s="60">
        <f t="shared" si="10"/>
        <v>4986.8233399079563</v>
      </c>
      <c r="AW19" s="60"/>
      <c r="AX19" s="60">
        <f>IF(AX$6="",IFERROR(VLOOKUP((AX$8&amp;"&amp;"&amp;$V19),'MASTER DATA'!$G:$M,7,FALSE)*AX$7*(VLOOKUP(AX$8,'MASTER DATA'!$AG:$AH,2,FALSE)),0),IFERROR(VLOOKUP((AX$8&amp;"&amp;"&amp;$V19),'MASTER DATA'!$G:$M,7,FALSE)*AX$6*(VLOOKUP(AX$8,'MASTER DATA'!$AG:$AH,2,FALSE)),0))</f>
        <v>0</v>
      </c>
      <c r="AY19" s="60">
        <f t="shared" si="11"/>
        <v>4986.8233399079563</v>
      </c>
    </row>
    <row r="20" spans="1:51" x14ac:dyDescent="0.25">
      <c r="A20" s="71"/>
      <c r="B20" s="38"/>
      <c r="C20" s="211" t="s">
        <v>372</v>
      </c>
      <c r="D20" s="211" t="s">
        <v>373</v>
      </c>
      <c r="E20" s="212">
        <v>6.5</v>
      </c>
      <c r="F20" s="212">
        <v>0</v>
      </c>
      <c r="G20" s="211">
        <v>7</v>
      </c>
      <c r="H20" s="39">
        <f t="shared" si="12"/>
        <v>1.75</v>
      </c>
      <c r="I20" s="39"/>
      <c r="J20" s="38">
        <v>0</v>
      </c>
      <c r="K20" s="38">
        <v>0</v>
      </c>
      <c r="L20" s="40">
        <f t="shared" si="13"/>
        <v>8.25</v>
      </c>
      <c r="M20" s="40">
        <f t="shared" si="14"/>
        <v>0.31730769230769229</v>
      </c>
      <c r="N20" s="41">
        <f>VLOOKUP(C20,'MASTER DATA'!B:D,3,0)</f>
        <v>1.1000000000000001</v>
      </c>
      <c r="O20" s="77">
        <f t="shared" si="15"/>
        <v>288.4615384615384</v>
      </c>
      <c r="P20" s="42">
        <f t="shared" si="16"/>
        <v>1.75</v>
      </c>
      <c r="Q20" s="77">
        <f t="shared" si="17"/>
        <v>7</v>
      </c>
      <c r="R20" s="38"/>
      <c r="S20" s="38"/>
      <c r="U20" s="65">
        <v>1</v>
      </c>
      <c r="V20" s="66" t="s">
        <v>74</v>
      </c>
      <c r="W20" s="36">
        <f t="shared" si="1"/>
        <v>6389.6467455621305</v>
      </c>
      <c r="X20" s="36"/>
      <c r="Y20" s="203">
        <f t="shared" si="2"/>
        <v>0</v>
      </c>
      <c r="Z20" s="203">
        <f t="shared" si="3"/>
        <v>0</v>
      </c>
      <c r="AA20" s="36">
        <f t="shared" si="4"/>
        <v>6389.6467455621305</v>
      </c>
      <c r="AB20" s="38">
        <v>1</v>
      </c>
      <c r="AC20" s="60">
        <f>IF(AC$6="",IFERROR(VLOOKUP((AC$8&amp;"&amp;"&amp;$V20),'MASTER DATA'!$G:$M,7,FALSE)*AC$7*(VLOOKUP(AC$8,'MASTER DATA'!$AG:$AH,2,FALSE)),0),IFERROR(VLOOKUP((AC$8&amp;"&amp;"&amp;$V20),'MASTER DATA'!$G:$M,7,FALSE)*AC$6*(VLOOKUP(AC$8,'MASTER DATA'!$AG:$AH,2,FALSE)),0))</f>
        <v>4454.3999999999996</v>
      </c>
      <c r="AD20" s="60">
        <f t="shared" si="0"/>
        <v>-1935.2467455621309</v>
      </c>
      <c r="AE20" s="38">
        <v>1</v>
      </c>
      <c r="AF20" s="60">
        <f>IF(AF$6="",IFERROR(VLOOKUP((AF$8&amp;"&amp;"&amp;$V20),'MASTER DATA'!$G:$M,7,FALSE)*AF$7*(VLOOKUP(AF$8,'MASTER DATA'!$AG:$AH,2,FALSE)),0),IFERROR(VLOOKUP((AF$8&amp;"&amp;"&amp;$V20),'MASTER DATA'!$G:$M,7,FALSE)*AF$6*(VLOOKUP(AF$8,'MASTER DATA'!$AG:$AH,2,FALSE)),0))</f>
        <v>3379.2</v>
      </c>
      <c r="AG20" s="60">
        <f t="shared" si="5"/>
        <v>1443.953254437869</v>
      </c>
      <c r="AH20" s="38"/>
      <c r="AI20" s="60">
        <f>IF(AI$6="",IFERROR(VLOOKUP((AI$8&amp;"&amp;"&amp;$V20),'MASTER DATA'!$G:$M,7,FALSE)*AI$7*(VLOOKUP(AI$8,'MASTER DATA'!$AG:$AH,2,FALSE)),0),IFERROR(VLOOKUP((AI$8&amp;"&amp;"&amp;$V20),'MASTER DATA'!$G:$M,7,FALSE)*AI$6*(VLOOKUP(AI$8,'MASTER DATA'!$AG:$AH,2,FALSE)),0))</f>
        <v>0</v>
      </c>
      <c r="AJ20" s="60">
        <f t="shared" si="6"/>
        <v>1443.953254437869</v>
      </c>
      <c r="AK20" s="38"/>
      <c r="AL20" s="60">
        <f>IF(AL$6="",IFERROR(VLOOKUP((AL$8&amp;"&amp;"&amp;$V20),'MASTER DATA'!$G:$M,7,FALSE)*AL$7*(VLOOKUP(AL$8,'MASTER DATA'!$AG:$AH,2,FALSE)),0),IFERROR(VLOOKUP((AL$8&amp;"&amp;"&amp;$V20),'MASTER DATA'!$G:$M,7,FALSE)*AL$6*(VLOOKUP(AL$8,'MASTER DATA'!$AG:$AH,2,FALSE)),0))</f>
        <v>0</v>
      </c>
      <c r="AM20" s="60">
        <f t="shared" si="7"/>
        <v>1443.953254437869</v>
      </c>
      <c r="AN20" s="38"/>
      <c r="AO20" s="60">
        <f>IF(AO$6="",IFERROR(VLOOKUP((AO$8&amp;"&amp;"&amp;$V20),'MASTER DATA'!$G:$M,7,FALSE)*AO$7*(VLOOKUP(AO$8,'MASTER DATA'!$AG:$AH,2,FALSE)),0),IFERROR(VLOOKUP((AO$8&amp;"&amp;"&amp;$V20),'MASTER DATA'!$G:$M,7,FALSE)*AO$6*(VLOOKUP(AO$8,'MASTER DATA'!$AG:$AH,2,FALSE)),0))</f>
        <v>0</v>
      </c>
      <c r="AP20" s="60">
        <f t="shared" si="8"/>
        <v>1443.953254437869</v>
      </c>
      <c r="AQ20" s="38"/>
      <c r="AR20" s="60">
        <f>IF(AR$6="",IFERROR(VLOOKUP((AR$8&amp;"&amp;"&amp;$V20),'MASTER DATA'!$G:$M,7,FALSE)*AR$7*(VLOOKUP(AR$8,'MASTER DATA'!$AG:$AH,2,FALSE)),0),IFERROR(VLOOKUP((AR$8&amp;"&amp;"&amp;$V20),'MASTER DATA'!$G:$M,7,FALSE)*AR$6*(VLOOKUP(AR$8,'MASTER DATA'!$AG:$AH,2,FALSE)),0))</f>
        <v>0</v>
      </c>
      <c r="AS20" s="60">
        <f t="shared" si="9"/>
        <v>1443.953254437869</v>
      </c>
      <c r="AT20" s="38"/>
      <c r="AU20" s="60">
        <f>IF(AU$6="",IFERROR(VLOOKUP((AU$8&amp;"&amp;"&amp;$V20),'MASTER DATA'!$G:$M,7,FALSE)*AU$7*(VLOOKUP(AU$8,'MASTER DATA'!$AG:$AH,2,FALSE)),0),IFERROR(VLOOKUP((AU$8&amp;"&amp;"&amp;$V20),'MASTER DATA'!$G:$M,7,FALSE)*AU$6*(VLOOKUP(AU$8,'MASTER DATA'!$AG:$AH,2,FALSE)),0))</f>
        <v>0</v>
      </c>
      <c r="AV20" s="60">
        <f t="shared" si="10"/>
        <v>1443.953254437869</v>
      </c>
      <c r="AW20" s="60"/>
      <c r="AX20" s="60">
        <f>IF(AX$6="",IFERROR(VLOOKUP((AX$8&amp;"&amp;"&amp;$V20),'MASTER DATA'!$G:$M,7,FALSE)*AX$7*(VLOOKUP(AX$8,'MASTER DATA'!$AG:$AH,2,FALSE)),0),IFERROR(VLOOKUP((AX$8&amp;"&amp;"&amp;$V20),'MASTER DATA'!$G:$M,7,FALSE)*AX$6*(VLOOKUP(AX$8,'MASTER DATA'!$AG:$AH,2,FALSE)),0))</f>
        <v>0</v>
      </c>
      <c r="AY20" s="60">
        <f t="shared" si="11"/>
        <v>1443.953254437869</v>
      </c>
    </row>
    <row r="21" spans="1:51" x14ac:dyDescent="0.25">
      <c r="A21" s="71"/>
      <c r="B21" s="38"/>
      <c r="C21" s="211" t="s">
        <v>521</v>
      </c>
      <c r="D21" s="211" t="s">
        <v>522</v>
      </c>
      <c r="E21" s="212">
        <v>15</v>
      </c>
      <c r="F21" s="212">
        <v>0.26456000000000002</v>
      </c>
      <c r="G21" s="211">
        <v>7</v>
      </c>
      <c r="H21" s="39">
        <f t="shared" si="12"/>
        <v>4.0384615384615383</v>
      </c>
      <c r="I21" s="39"/>
      <c r="J21" s="38">
        <v>0</v>
      </c>
      <c r="K21" s="38">
        <v>0</v>
      </c>
      <c r="L21" s="40">
        <f t="shared" si="13"/>
        <v>18.773901538461537</v>
      </c>
      <c r="M21" s="40">
        <f t="shared" si="14"/>
        <v>0.72207313609467449</v>
      </c>
      <c r="N21" s="41">
        <v>1</v>
      </c>
      <c r="O21" s="77">
        <f t="shared" si="15"/>
        <v>722.07313609467451</v>
      </c>
      <c r="P21" s="42">
        <f t="shared" si="16"/>
        <v>4.0384615384615365</v>
      </c>
      <c r="Q21" s="77">
        <f t="shared" si="17"/>
        <v>6.9999999999999973</v>
      </c>
      <c r="R21" s="38"/>
      <c r="S21" s="38"/>
      <c r="U21" s="65">
        <v>1.1000000000000001</v>
      </c>
      <c r="V21" s="67" t="s">
        <v>75</v>
      </c>
      <c r="W21" s="36">
        <f t="shared" si="1"/>
        <v>8009.0381387842908</v>
      </c>
      <c r="X21" s="36"/>
      <c r="Y21" s="203">
        <f t="shared" si="2"/>
        <v>0</v>
      </c>
      <c r="Z21" s="203">
        <f t="shared" si="3"/>
        <v>0</v>
      </c>
      <c r="AA21" s="36">
        <f t="shared" si="4"/>
        <v>8009.0381387842908</v>
      </c>
      <c r="AB21" s="38">
        <v>1</v>
      </c>
      <c r="AC21" s="60">
        <f>IF(AC$6="",IFERROR(VLOOKUP((AC$8&amp;"&amp;"&amp;$V21),'MASTER DATA'!$G:$M,7,FALSE)*AC$7*(VLOOKUP(AC$8,'MASTER DATA'!$AG:$AH,2,FALSE)),0),IFERROR(VLOOKUP((AC$8&amp;"&amp;"&amp;$V21),'MASTER DATA'!$G:$M,7,FALSE)*AC$6*(VLOOKUP(AC$8,'MASTER DATA'!$AG:$AH,2,FALSE)),0))</f>
        <v>2457.6</v>
      </c>
      <c r="AD21" s="60">
        <f t="shared" si="0"/>
        <v>-5551.4381387842914</v>
      </c>
      <c r="AE21" s="38">
        <v>1</v>
      </c>
      <c r="AF21" s="60">
        <f>IF(AF$6="",IFERROR(VLOOKUP((AF$8&amp;"&amp;"&amp;$V21),'MASTER DATA'!$G:$M,7,FALSE)*AF$7*(VLOOKUP(AF$8,'MASTER DATA'!$AG:$AH,2,FALSE)),0),IFERROR(VLOOKUP((AF$8&amp;"&amp;"&amp;$V21),'MASTER DATA'!$G:$M,7,FALSE)*AF$6*(VLOOKUP(AF$8,'MASTER DATA'!$AG:$AH,2,FALSE)),0))</f>
        <v>5913.6</v>
      </c>
      <c r="AG21" s="60">
        <f t="shared" si="5"/>
        <v>362.161861215709</v>
      </c>
      <c r="AH21" s="38"/>
      <c r="AI21" s="60">
        <f>IF(AI$6="",IFERROR(VLOOKUP((AI$8&amp;"&amp;"&amp;$V21),'MASTER DATA'!$G:$M,7,FALSE)*AI$7*(VLOOKUP(AI$8,'MASTER DATA'!$AG:$AH,2,FALSE)),0),IFERROR(VLOOKUP((AI$8&amp;"&amp;"&amp;$V21),'MASTER DATA'!$G:$M,7,FALSE)*AI$6*(VLOOKUP(AI$8,'MASTER DATA'!$AG:$AH,2,FALSE)),0))</f>
        <v>0</v>
      </c>
      <c r="AJ21" s="60">
        <f t="shared" si="6"/>
        <v>362.161861215709</v>
      </c>
      <c r="AK21" s="38"/>
      <c r="AL21" s="60">
        <f>IF(AL$6="",IFERROR(VLOOKUP((AL$8&amp;"&amp;"&amp;$V21),'MASTER DATA'!$G:$M,7,FALSE)*AL$7*(VLOOKUP(AL$8,'MASTER DATA'!$AG:$AH,2,FALSE)),0),IFERROR(VLOOKUP((AL$8&amp;"&amp;"&amp;$V21),'MASTER DATA'!$G:$M,7,FALSE)*AL$6*(VLOOKUP(AL$8,'MASTER DATA'!$AG:$AH,2,FALSE)),0))</f>
        <v>0</v>
      </c>
      <c r="AM21" s="60">
        <f t="shared" si="7"/>
        <v>362.161861215709</v>
      </c>
      <c r="AN21" s="38"/>
      <c r="AO21" s="60">
        <f>IF(AO$6="",IFERROR(VLOOKUP((AO$8&amp;"&amp;"&amp;$V21),'MASTER DATA'!$G:$M,7,FALSE)*AO$7*(VLOOKUP(AO$8,'MASTER DATA'!$AG:$AH,2,FALSE)),0),IFERROR(VLOOKUP((AO$8&amp;"&amp;"&amp;$V21),'MASTER DATA'!$G:$M,7,FALSE)*AO$6*(VLOOKUP(AO$8,'MASTER DATA'!$AG:$AH,2,FALSE)),0))</f>
        <v>0</v>
      </c>
      <c r="AP21" s="60">
        <f t="shared" si="8"/>
        <v>362.161861215709</v>
      </c>
      <c r="AQ21" s="38"/>
      <c r="AR21" s="60">
        <f>IF(AR$6="",IFERROR(VLOOKUP((AR$8&amp;"&amp;"&amp;$V21),'MASTER DATA'!$G:$M,7,FALSE)*AR$7*(VLOOKUP(AR$8,'MASTER DATA'!$AG:$AH,2,FALSE)),0),IFERROR(VLOOKUP((AR$8&amp;"&amp;"&amp;$V21),'MASTER DATA'!$G:$M,7,FALSE)*AR$6*(VLOOKUP(AR$8,'MASTER DATA'!$AG:$AH,2,FALSE)),0))</f>
        <v>0</v>
      </c>
      <c r="AS21" s="60">
        <f t="shared" si="9"/>
        <v>362.161861215709</v>
      </c>
      <c r="AT21" s="38"/>
      <c r="AU21" s="60">
        <f>IF(AU$6="",IFERROR(VLOOKUP((AU$8&amp;"&amp;"&amp;$V21),'MASTER DATA'!$G:$M,7,FALSE)*AU$7*(VLOOKUP(AU$8,'MASTER DATA'!$AG:$AH,2,FALSE)),0),IFERROR(VLOOKUP((AU$8&amp;"&amp;"&amp;$V21),'MASTER DATA'!$G:$M,7,FALSE)*AU$6*(VLOOKUP(AU$8,'MASTER DATA'!$AG:$AH,2,FALSE)),0))</f>
        <v>0</v>
      </c>
      <c r="AV21" s="60">
        <f t="shared" si="10"/>
        <v>362.161861215709</v>
      </c>
      <c r="AW21" s="60"/>
      <c r="AX21" s="60">
        <f>IF(AX$6="",IFERROR(VLOOKUP((AX$8&amp;"&amp;"&amp;$V21),'MASTER DATA'!$G:$M,7,FALSE)*AX$7*(VLOOKUP(AX$8,'MASTER DATA'!$AG:$AH,2,FALSE)),0),IFERROR(VLOOKUP((AX$8&amp;"&amp;"&amp;$V21),'MASTER DATA'!$G:$M,7,FALSE)*AX$6*(VLOOKUP(AX$8,'MASTER DATA'!$AG:$AH,2,FALSE)),0))</f>
        <v>136.36363636363635</v>
      </c>
      <c r="AY21" s="60">
        <f t="shared" si="11"/>
        <v>498.52549757934537</v>
      </c>
    </row>
    <row r="22" spans="1:51" x14ac:dyDescent="0.25">
      <c r="A22" s="71"/>
      <c r="B22" s="38"/>
      <c r="C22" s="211" t="s">
        <v>374</v>
      </c>
      <c r="D22" s="211" t="s">
        <v>375</v>
      </c>
      <c r="E22" s="212">
        <v>0.38</v>
      </c>
      <c r="F22" s="212">
        <v>1.9820000000000001E-2</v>
      </c>
      <c r="G22" s="211">
        <v>7</v>
      </c>
      <c r="H22" s="39">
        <f t="shared" si="12"/>
        <v>0.10230769230769231</v>
      </c>
      <c r="I22" s="39"/>
      <c r="J22" s="38">
        <v>0</v>
      </c>
      <c r="K22" s="38">
        <v>0</v>
      </c>
      <c r="L22" s="54">
        <v>0</v>
      </c>
      <c r="M22" s="40">
        <f t="shared" si="14"/>
        <v>0</v>
      </c>
      <c r="N22" s="41">
        <f>VLOOKUP(C22,'MASTER DATA'!B:D,3,0)</f>
        <v>1.3</v>
      </c>
      <c r="O22" s="77">
        <f t="shared" si="15"/>
        <v>0</v>
      </c>
      <c r="P22" s="42">
        <f t="shared" si="16"/>
        <v>-0.36018</v>
      </c>
      <c r="Q22" s="77">
        <f t="shared" si="17"/>
        <v>-24.643894736842107</v>
      </c>
      <c r="R22" s="38"/>
      <c r="S22" s="38"/>
      <c r="U22" s="65">
        <v>1.2</v>
      </c>
      <c r="V22" s="66" t="s">
        <v>76</v>
      </c>
      <c r="W22" s="36">
        <f t="shared" si="1"/>
        <v>7975.5571992110472</v>
      </c>
      <c r="X22" s="36"/>
      <c r="Y22" s="203">
        <f>SUMIF($N$178:$N$200,U22,$O$178:$O$200)</f>
        <v>475.16313943500643</v>
      </c>
      <c r="Z22" s="203">
        <f t="shared" si="3"/>
        <v>0</v>
      </c>
      <c r="AA22" s="36">
        <f>SUM(W22:Z22)</f>
        <v>8450.7203386460533</v>
      </c>
      <c r="AB22" s="38">
        <v>1</v>
      </c>
      <c r="AC22" s="60">
        <f>IF(AC$6="",IFERROR(VLOOKUP((AC$8&amp;"&amp;"&amp;$V22),'MASTER DATA'!$G:$M,7,FALSE)*AC$7*(VLOOKUP(AC$8,'MASTER DATA'!$AG:$AH,2,FALSE)),0),IFERROR(VLOOKUP((AC$8&amp;"&amp;"&amp;$V22),'MASTER DATA'!$G:$M,7,FALSE)*AC$6*(VLOOKUP(AC$8,'MASTER DATA'!$AG:$AH,2,FALSE)),0))</f>
        <v>921.59999999999991</v>
      </c>
      <c r="AD22" s="60">
        <f>AC22-AA22</f>
        <v>-7529.1203386460529</v>
      </c>
      <c r="AE22" s="38">
        <v>1</v>
      </c>
      <c r="AF22" s="60">
        <f>IF(AF$6="",IFERROR(VLOOKUP((AF$8&amp;"&amp;"&amp;$V22),'MASTER DATA'!$G:$M,7,FALSE)*AF$7*(VLOOKUP(AF$8,'MASTER DATA'!$AG:$AH,2,FALSE)),0),IFERROR(VLOOKUP((AF$8&amp;"&amp;"&amp;$V22),'MASTER DATA'!$G:$M,7,FALSE)*AF$6*(VLOOKUP(AF$8,'MASTER DATA'!$AG:$AH,2,FALSE)),0))</f>
        <v>5913.6</v>
      </c>
      <c r="AG22" s="60">
        <f t="shared" si="5"/>
        <v>-1615.5203386460526</v>
      </c>
      <c r="AH22" s="38"/>
      <c r="AI22" s="60">
        <f>IF(AI$6="",IFERROR(VLOOKUP((AI$8&amp;"&amp;"&amp;$V22),'MASTER DATA'!$G:$M,7,FALSE)*AI$7*(VLOOKUP(AI$8,'MASTER DATA'!$AG:$AH,2,FALSE)),0),IFERROR(VLOOKUP((AI$8&amp;"&amp;"&amp;$V22),'MASTER DATA'!$G:$M,7,FALSE)*AI$6*(VLOOKUP(AI$8,'MASTER DATA'!$AG:$AH,2,FALSE)),0))</f>
        <v>0</v>
      </c>
      <c r="AJ22" s="60">
        <f t="shared" si="6"/>
        <v>-1615.5203386460526</v>
      </c>
      <c r="AK22" s="38"/>
      <c r="AL22" s="60">
        <f>IF(AL$6="",IFERROR(VLOOKUP((AL$8&amp;"&amp;"&amp;$V22),'MASTER DATA'!$G:$M,7,FALSE)*AL$7*(VLOOKUP(AL$8,'MASTER DATA'!$AG:$AH,2,FALSE)),0),IFERROR(VLOOKUP((AL$8&amp;"&amp;"&amp;$V22),'MASTER DATA'!$G:$M,7,FALSE)*AL$6*(VLOOKUP(AL$8,'MASTER DATA'!$AG:$AH,2,FALSE)),0))</f>
        <v>0</v>
      </c>
      <c r="AM22" s="60">
        <f t="shared" si="7"/>
        <v>-1615.5203386460526</v>
      </c>
      <c r="AN22" s="38"/>
      <c r="AO22" s="60">
        <f>IF(AO$6="",IFERROR(VLOOKUP((AO$8&amp;"&amp;"&amp;$V22),'MASTER DATA'!$G:$M,7,FALSE)*AO$7*(VLOOKUP(AO$8,'MASTER DATA'!$AG:$AH,2,FALSE)),0),IFERROR(VLOOKUP((AO$8&amp;"&amp;"&amp;$V22),'MASTER DATA'!$G:$M,7,FALSE)*AO$6*(VLOOKUP(AO$8,'MASTER DATA'!$AG:$AH,2,FALSE)),0))</f>
        <v>0</v>
      </c>
      <c r="AP22" s="60">
        <f t="shared" si="8"/>
        <v>-1615.5203386460526</v>
      </c>
      <c r="AQ22" s="38"/>
      <c r="AR22" s="60">
        <f>IF(AR$6="",IFERROR(VLOOKUP((AR$8&amp;"&amp;"&amp;$V22),'MASTER DATA'!$G:$M,7,FALSE)*AR$7*(VLOOKUP(AR$8,'MASTER DATA'!$AG:$AH,2,FALSE)),0),IFERROR(VLOOKUP((AR$8&amp;"&amp;"&amp;$V22),'MASTER DATA'!$G:$M,7,FALSE)*AR$6*(VLOOKUP(AR$8,'MASTER DATA'!$AG:$AH,2,FALSE)),0))</f>
        <v>0</v>
      </c>
      <c r="AS22" s="60">
        <f t="shared" si="9"/>
        <v>-1615.5203386460526</v>
      </c>
      <c r="AT22" s="38"/>
      <c r="AU22" s="60">
        <f>IF(AU$6="",IFERROR(VLOOKUP((AU$8&amp;"&amp;"&amp;$V22),'MASTER DATA'!$G:$M,7,FALSE)*AU$7*(VLOOKUP(AU$8,'MASTER DATA'!$AG:$AH,2,FALSE)),0),IFERROR(VLOOKUP((AU$8&amp;"&amp;"&amp;$V22),'MASTER DATA'!$G:$M,7,FALSE)*AU$6*(VLOOKUP(AU$8,'MASTER DATA'!$AG:$AH,2,FALSE)),0))</f>
        <v>0</v>
      </c>
      <c r="AV22" s="60">
        <f t="shared" si="10"/>
        <v>-1615.5203386460526</v>
      </c>
      <c r="AW22" s="60"/>
      <c r="AX22" s="60">
        <f>IF(AX$6="",IFERROR(VLOOKUP((AX$8&amp;"&amp;"&amp;$V22),'MASTER DATA'!$G:$M,7,FALSE)*AX$7*(VLOOKUP(AX$8,'MASTER DATA'!$AG:$AH,2,FALSE)),0),IFERROR(VLOOKUP((AX$8&amp;"&amp;"&amp;$V22),'MASTER DATA'!$G:$M,7,FALSE)*AX$6*(VLOOKUP(AX$8,'MASTER DATA'!$AG:$AH,2,FALSE)),0))</f>
        <v>545.45454545454538</v>
      </c>
      <c r="AY22" s="60">
        <f t="shared" si="11"/>
        <v>-1070.0657931915071</v>
      </c>
    </row>
    <row r="23" spans="1:51" x14ac:dyDescent="0.25">
      <c r="A23" s="71"/>
      <c r="B23" s="38"/>
      <c r="C23" s="211" t="s">
        <v>577</v>
      </c>
      <c r="D23" s="211" t="s">
        <v>578</v>
      </c>
      <c r="E23" s="212">
        <v>35.966169999999998</v>
      </c>
      <c r="F23" s="212">
        <v>6.9384399999999999</v>
      </c>
      <c r="G23" s="211">
        <v>14</v>
      </c>
      <c r="H23" s="39">
        <f t="shared" si="12"/>
        <v>19.366399230769233</v>
      </c>
      <c r="I23" s="39"/>
      <c r="J23" s="38">
        <v>0</v>
      </c>
      <c r="K23" s="38">
        <v>2</v>
      </c>
      <c r="L23" s="40">
        <f t="shared" si="13"/>
        <v>50.394129230769231</v>
      </c>
      <c r="M23" s="40">
        <f t="shared" si="14"/>
        <v>1.9382357396449703</v>
      </c>
      <c r="N23" s="41">
        <f>VLOOKUP(C23,'MASTER DATA'!B:D,3,0)</f>
        <v>1.1000000000000001</v>
      </c>
      <c r="O23" s="77">
        <f t="shared" si="15"/>
        <v>1762.0324905863365</v>
      </c>
      <c r="P23" s="42">
        <f t="shared" si="16"/>
        <v>19.366399230769233</v>
      </c>
      <c r="Q23" s="77">
        <f t="shared" si="17"/>
        <v>14.000000000000002</v>
      </c>
      <c r="R23" s="38"/>
      <c r="S23" s="38"/>
      <c r="U23" s="27">
        <v>1.3</v>
      </c>
      <c r="V23" s="18" t="s">
        <v>77</v>
      </c>
      <c r="W23" s="19">
        <f t="shared" si="1"/>
        <v>37.892216659080567</v>
      </c>
      <c r="X23" s="19"/>
      <c r="Y23" s="203">
        <f t="shared" si="2"/>
        <v>0</v>
      </c>
      <c r="Z23" s="203">
        <f t="shared" si="3"/>
        <v>0</v>
      </c>
      <c r="AA23" s="19">
        <f t="shared" si="4"/>
        <v>37.892216659080567</v>
      </c>
      <c r="AB23" s="38"/>
      <c r="AC23" s="60">
        <f>IF(AC$6="",IFERROR(VLOOKUP((AC$8&amp;"&amp;"&amp;$V23),'MASTER DATA'!$G:$M,7,FALSE)*AC$7*(VLOOKUP(AC$8,'MASTER DATA'!$AG:$AH,2,FALSE)),0),IFERROR(VLOOKUP((AC$8&amp;"&amp;"&amp;$V23),'MASTER DATA'!$G:$M,7,FALSE)*AC$6*(VLOOKUP(AC$8,'MASTER DATA'!$AG:$AH,2,FALSE)),0))</f>
        <v>307.2</v>
      </c>
      <c r="AD23" s="60">
        <f t="shared" si="0"/>
        <v>269.3077833409194</v>
      </c>
      <c r="AE23" s="38"/>
      <c r="AF23" s="60">
        <f>IF(AF$6="",IFERROR(VLOOKUP((AF$8&amp;"&amp;"&amp;$V23),'MASTER DATA'!$G:$M,7,FALSE)*AF$7*(VLOOKUP(AF$8,'MASTER DATA'!$AG:$AH,2,FALSE)),0),IFERROR(VLOOKUP((AF$8&amp;"&amp;"&amp;$V23),'MASTER DATA'!$G:$M,7,FALSE)*AF$6*(VLOOKUP(AF$8,'MASTER DATA'!$AG:$AH,2,FALSE)),0))</f>
        <v>2956.8</v>
      </c>
      <c r="AG23" s="60">
        <f t="shared" si="5"/>
        <v>3226.1077833409195</v>
      </c>
      <c r="AH23" s="38"/>
      <c r="AI23" s="60">
        <f>IF(AI$6="",IFERROR(VLOOKUP((AI$8&amp;"&amp;"&amp;$V23),'MASTER DATA'!$G:$M,7,FALSE)*AI$7*(VLOOKUP(AI$8,'MASTER DATA'!$AG:$AH,2,FALSE)),0),IFERROR(VLOOKUP((AI$8&amp;"&amp;"&amp;$V23),'MASTER DATA'!$G:$M,7,FALSE)*AI$6*(VLOOKUP(AI$8,'MASTER DATA'!$AG:$AH,2,FALSE)),0))</f>
        <v>0</v>
      </c>
      <c r="AJ23" s="60">
        <f t="shared" si="6"/>
        <v>3226.1077833409195</v>
      </c>
      <c r="AK23" s="38"/>
      <c r="AL23" s="60">
        <f>IF(AL$6="",IFERROR(VLOOKUP((AL$8&amp;"&amp;"&amp;$V23),'MASTER DATA'!$G:$M,7,FALSE)*AL$7*(VLOOKUP(AL$8,'MASTER DATA'!$AG:$AH,2,FALSE)),0),IFERROR(VLOOKUP((AL$8&amp;"&amp;"&amp;$V23),'MASTER DATA'!$G:$M,7,FALSE)*AL$6*(VLOOKUP(AL$8,'MASTER DATA'!$AG:$AH,2,FALSE)),0))</f>
        <v>0</v>
      </c>
      <c r="AM23" s="60">
        <f t="shared" si="7"/>
        <v>3226.1077833409195</v>
      </c>
      <c r="AN23" s="38"/>
      <c r="AO23" s="60">
        <f>IF(AO$6="",IFERROR(VLOOKUP((AO$8&amp;"&amp;"&amp;$V23),'MASTER DATA'!$G:$M,7,FALSE)*AO$7*(VLOOKUP(AO$8,'MASTER DATA'!$AG:$AH,2,FALSE)),0),IFERROR(VLOOKUP((AO$8&amp;"&amp;"&amp;$V23),'MASTER DATA'!$G:$M,7,FALSE)*AO$6*(VLOOKUP(AO$8,'MASTER DATA'!$AG:$AH,2,FALSE)),0))</f>
        <v>0</v>
      </c>
      <c r="AP23" s="60">
        <f t="shared" si="8"/>
        <v>3226.1077833409195</v>
      </c>
      <c r="AQ23" s="38"/>
      <c r="AR23" s="60">
        <f>IF(AR$6="",IFERROR(VLOOKUP((AR$8&amp;"&amp;"&amp;$V23),'MASTER DATA'!$G:$M,7,FALSE)*AR$7*(VLOOKUP(AR$8,'MASTER DATA'!$AG:$AH,2,FALSE)),0),IFERROR(VLOOKUP((AR$8&amp;"&amp;"&amp;$V23),'MASTER DATA'!$G:$M,7,FALSE)*AR$6*(VLOOKUP(AR$8,'MASTER DATA'!$AG:$AH,2,FALSE)),0))</f>
        <v>0</v>
      </c>
      <c r="AS23" s="60">
        <f t="shared" si="9"/>
        <v>3226.1077833409195</v>
      </c>
      <c r="AT23" s="38"/>
      <c r="AU23" s="60">
        <f>IF(AU$6="",IFERROR(VLOOKUP((AU$8&amp;"&amp;"&amp;$V23),'MASTER DATA'!$G:$M,7,FALSE)*AU$7*(VLOOKUP(AU$8,'MASTER DATA'!$AG:$AH,2,FALSE)),0),IFERROR(VLOOKUP((AU$8&amp;"&amp;"&amp;$V23),'MASTER DATA'!$G:$M,7,FALSE)*AU$6*(VLOOKUP(AU$8,'MASTER DATA'!$AG:$AH,2,FALSE)),0))</f>
        <v>0</v>
      </c>
      <c r="AV23" s="60">
        <f t="shared" si="10"/>
        <v>3226.1077833409195</v>
      </c>
      <c r="AW23" s="60"/>
      <c r="AX23" s="60">
        <f>IF(AX$6="",IFERROR(VLOOKUP((AX$8&amp;"&amp;"&amp;$V23),'MASTER DATA'!$G:$M,7,FALSE)*AX$7*(VLOOKUP(AX$8,'MASTER DATA'!$AG:$AH,2,FALSE)),0),IFERROR(VLOOKUP((AX$8&amp;"&amp;"&amp;$V23),'MASTER DATA'!$G:$M,7,FALSE)*AX$6*(VLOOKUP(AX$8,'MASTER DATA'!$AG:$AH,2,FALSE)),0))</f>
        <v>954.5454545454545</v>
      </c>
      <c r="AY23" s="60">
        <f t="shared" si="11"/>
        <v>4180.653237886374</v>
      </c>
    </row>
    <row r="24" spans="1:51" x14ac:dyDescent="0.25">
      <c r="A24" s="71"/>
      <c r="B24" s="38"/>
      <c r="C24" s="211" t="s">
        <v>376</v>
      </c>
      <c r="D24" s="211" t="s">
        <v>377</v>
      </c>
      <c r="E24" s="212">
        <v>9.01</v>
      </c>
      <c r="F24" s="212">
        <v>0.28061000000000003</v>
      </c>
      <c r="G24" s="211">
        <v>7</v>
      </c>
      <c r="H24" s="39">
        <f t="shared" si="12"/>
        <v>2.4257692307692307</v>
      </c>
      <c r="I24" s="39"/>
      <c r="J24" s="38">
        <v>0</v>
      </c>
      <c r="K24" s="38">
        <v>0</v>
      </c>
      <c r="L24" s="40">
        <f t="shared" si="13"/>
        <v>11.155159230769231</v>
      </c>
      <c r="M24" s="40">
        <f t="shared" si="14"/>
        <v>0.42904458579881655</v>
      </c>
      <c r="N24" s="41">
        <f>VLOOKUP(C24,'MASTER DATA'!B:D,3,0)</f>
        <v>1.2</v>
      </c>
      <c r="O24" s="77">
        <f t="shared" si="15"/>
        <v>357.53715483234714</v>
      </c>
      <c r="P24" s="42">
        <f t="shared" si="16"/>
        <v>2.4257692307692302</v>
      </c>
      <c r="Q24" s="77">
        <f t="shared" si="17"/>
        <v>6.9999999999999991</v>
      </c>
      <c r="R24" s="38"/>
      <c r="S24" s="38"/>
      <c r="U24" s="27">
        <v>1.4</v>
      </c>
      <c r="V24" s="24" t="s">
        <v>78</v>
      </c>
      <c r="W24" s="19">
        <f t="shared" si="1"/>
        <v>1407.4742603550294</v>
      </c>
      <c r="X24" s="19"/>
      <c r="Y24" s="203">
        <f t="shared" si="2"/>
        <v>0</v>
      </c>
      <c r="Z24" s="203">
        <f t="shared" si="3"/>
        <v>0</v>
      </c>
      <c r="AA24" s="19">
        <f t="shared" si="4"/>
        <v>1407.4742603550294</v>
      </c>
      <c r="AB24" s="38"/>
      <c r="AC24" s="60">
        <f>IF(AC$6="",IFERROR(VLOOKUP((AC$8&amp;"&amp;"&amp;$V24),'MASTER DATA'!$G:$M,7,FALSE)*AC$7*(VLOOKUP(AC$8,'MASTER DATA'!$AG:$AH,2,FALSE)),0),IFERROR(VLOOKUP((AC$8&amp;"&amp;"&amp;$V24),'MASTER DATA'!$G:$M,7,FALSE)*AC$6*(VLOOKUP(AC$8,'MASTER DATA'!$AG:$AH,2,FALSE)),0))</f>
        <v>0</v>
      </c>
      <c r="AD24" s="60">
        <f t="shared" si="0"/>
        <v>-1407.4742603550294</v>
      </c>
      <c r="AE24" s="38"/>
      <c r="AF24" s="60">
        <f>IF(AF$6="",IFERROR(VLOOKUP((AF$8&amp;"&amp;"&amp;$V24),'MASTER DATA'!$G:$M,7,FALSE)*AF$7*(VLOOKUP(AF$8,'MASTER DATA'!$AG:$AH,2,FALSE)),0),IFERROR(VLOOKUP((AF$8&amp;"&amp;"&amp;$V24),'MASTER DATA'!$G:$M,7,FALSE)*AF$6*(VLOOKUP(AF$8,'MASTER DATA'!$AG:$AH,2,FALSE)),0))</f>
        <v>844.8</v>
      </c>
      <c r="AG24" s="60">
        <f t="shared" si="5"/>
        <v>-562.67426035502945</v>
      </c>
      <c r="AH24" s="38"/>
      <c r="AI24" s="60">
        <f>IF(AI$6="",IFERROR(VLOOKUP((AI$8&amp;"&amp;"&amp;$V24),'MASTER DATA'!$G:$M,7,FALSE)*AI$7*(VLOOKUP(AI$8,'MASTER DATA'!$AG:$AH,2,FALSE)),0),IFERROR(VLOOKUP((AI$8&amp;"&amp;"&amp;$V24),'MASTER DATA'!$G:$M,7,FALSE)*AI$6*(VLOOKUP(AI$8,'MASTER DATA'!$AG:$AH,2,FALSE)),0))</f>
        <v>0</v>
      </c>
      <c r="AJ24" s="60">
        <f t="shared" si="6"/>
        <v>-562.67426035502945</v>
      </c>
      <c r="AK24" s="38"/>
      <c r="AL24" s="60">
        <f>IF(AL$6="",IFERROR(VLOOKUP((AL$8&amp;"&amp;"&amp;$V24),'MASTER DATA'!$G:$M,7,FALSE)*AL$7*(VLOOKUP(AL$8,'MASTER DATA'!$AG:$AH,2,FALSE)),0),IFERROR(VLOOKUP((AL$8&amp;"&amp;"&amp;$V24),'MASTER DATA'!$G:$M,7,FALSE)*AL$6*(VLOOKUP(AL$8,'MASTER DATA'!$AG:$AH,2,FALSE)),0))</f>
        <v>0</v>
      </c>
      <c r="AM24" s="60">
        <f t="shared" si="7"/>
        <v>-562.67426035502945</v>
      </c>
      <c r="AN24" s="38"/>
      <c r="AO24" s="60">
        <f>IF(AO$6="",IFERROR(VLOOKUP((AO$8&amp;"&amp;"&amp;$V24),'MASTER DATA'!$G:$M,7,FALSE)*AO$7*(VLOOKUP(AO$8,'MASTER DATA'!$AG:$AH,2,FALSE)),0),IFERROR(VLOOKUP((AO$8&amp;"&amp;"&amp;$V24),'MASTER DATA'!$G:$M,7,FALSE)*AO$6*(VLOOKUP(AO$8,'MASTER DATA'!$AG:$AH,2,FALSE)),0))</f>
        <v>0</v>
      </c>
      <c r="AP24" s="60">
        <f t="shared" si="8"/>
        <v>-562.67426035502945</v>
      </c>
      <c r="AQ24" s="38"/>
      <c r="AR24" s="60">
        <f>IF(AR$6="",IFERROR(VLOOKUP((AR$8&amp;"&amp;"&amp;$V24),'MASTER DATA'!$G:$M,7,FALSE)*AR$7*(VLOOKUP(AR$8,'MASTER DATA'!$AG:$AH,2,FALSE)),0),IFERROR(VLOOKUP((AR$8&amp;"&amp;"&amp;$V24),'MASTER DATA'!$G:$M,7,FALSE)*AR$6*(VLOOKUP(AR$8,'MASTER DATA'!$AG:$AH,2,FALSE)),0))</f>
        <v>0</v>
      </c>
      <c r="AS24" s="60">
        <f t="shared" si="9"/>
        <v>-562.67426035502945</v>
      </c>
      <c r="AT24" s="38"/>
      <c r="AU24" s="60">
        <f>IF(AU$6="",IFERROR(VLOOKUP((AU$8&amp;"&amp;"&amp;$V24),'MASTER DATA'!$G:$M,7,FALSE)*AU$7*(VLOOKUP(AU$8,'MASTER DATA'!$AG:$AH,2,FALSE)),0),IFERROR(VLOOKUP((AU$8&amp;"&amp;"&amp;$V24),'MASTER DATA'!$G:$M,7,FALSE)*AU$6*(VLOOKUP(AU$8,'MASTER DATA'!$AG:$AH,2,FALSE)),0))</f>
        <v>0</v>
      </c>
      <c r="AV24" s="60">
        <f t="shared" si="10"/>
        <v>-562.67426035502945</v>
      </c>
      <c r="AW24" s="60"/>
      <c r="AX24" s="60">
        <f>IF(AX$6="",IFERROR(VLOOKUP((AX$8&amp;"&amp;"&amp;$V24),'MASTER DATA'!$G:$M,7,FALSE)*AX$7*(VLOOKUP(AX$8,'MASTER DATA'!$AG:$AH,2,FALSE)),0),IFERROR(VLOOKUP((AX$8&amp;"&amp;"&amp;$V24),'MASTER DATA'!$G:$M,7,FALSE)*AX$6*(VLOOKUP(AX$8,'MASTER DATA'!$AG:$AH,2,FALSE)),0))</f>
        <v>1909.090909090909</v>
      </c>
      <c r="AY24" s="60">
        <f t="shared" si="11"/>
        <v>1346.4166487358796</v>
      </c>
    </row>
    <row r="25" spans="1:51" x14ac:dyDescent="0.25">
      <c r="A25" s="71"/>
      <c r="B25" s="38"/>
      <c r="C25" s="211" t="s">
        <v>30</v>
      </c>
      <c r="D25" s="211" t="s">
        <v>31</v>
      </c>
      <c r="E25" s="212">
        <v>1.5897400000000002</v>
      </c>
      <c r="F25" s="212">
        <v>2.0104199999999999</v>
      </c>
      <c r="G25" s="211">
        <v>7</v>
      </c>
      <c r="H25" s="39">
        <f t="shared" si="12"/>
        <v>0.42800692307692312</v>
      </c>
      <c r="I25" s="39"/>
      <c r="J25" s="38">
        <v>0</v>
      </c>
      <c r="K25" s="38">
        <v>0</v>
      </c>
      <c r="L25" s="40">
        <f t="shared" si="13"/>
        <v>7.3269230769233973E-3</v>
      </c>
      <c r="M25" s="40">
        <f t="shared" si="14"/>
        <v>2.8180473372782299E-4</v>
      </c>
      <c r="N25" s="41">
        <f>VLOOKUP(C25,'MASTER DATA'!B:D,3,0)</f>
        <v>1.1000000000000001</v>
      </c>
      <c r="O25" s="77">
        <f t="shared" si="15"/>
        <v>0.25618612157074816</v>
      </c>
      <c r="P25" s="42">
        <f t="shared" si="16"/>
        <v>0.42800692307692301</v>
      </c>
      <c r="Q25" s="77">
        <f t="shared" si="17"/>
        <v>6.9999999999999982</v>
      </c>
      <c r="R25" s="38"/>
      <c r="S25" s="38"/>
      <c r="U25" s="27">
        <v>1.5</v>
      </c>
      <c r="V25" s="18" t="s">
        <v>79</v>
      </c>
      <c r="W25" s="19">
        <f t="shared" si="1"/>
        <v>2322.1025246548329</v>
      </c>
      <c r="X25" s="19"/>
      <c r="Y25" s="203">
        <f t="shared" si="2"/>
        <v>0</v>
      </c>
      <c r="Z25" s="203">
        <f t="shared" si="3"/>
        <v>0</v>
      </c>
      <c r="AA25" s="19">
        <f t="shared" si="4"/>
        <v>2322.1025246548329</v>
      </c>
      <c r="AB25" s="38"/>
      <c r="AC25" s="60">
        <f>IF(AC$6="",IFERROR(VLOOKUP((AC$8&amp;"&amp;"&amp;$V25),'MASTER DATA'!$G:$M,7,FALSE)*AC$7*(VLOOKUP(AC$8,'MASTER DATA'!$AG:$AH,2,FALSE)),0),IFERROR(VLOOKUP((AC$8&amp;"&amp;"&amp;$V25),'MASTER DATA'!$G:$M,7,FALSE)*AC$6*(VLOOKUP(AC$8,'MASTER DATA'!$AG:$AH,2,FALSE)),0))</f>
        <v>0</v>
      </c>
      <c r="AD25" s="60">
        <f t="shared" si="0"/>
        <v>-2322.1025246548329</v>
      </c>
      <c r="AE25" s="38"/>
      <c r="AF25" s="60">
        <f>IF(AF$6="",IFERROR(VLOOKUP((AF$8&amp;"&amp;"&amp;$V25),'MASTER DATA'!$G:$M,7,FALSE)*AF$7*(VLOOKUP(AF$8,'MASTER DATA'!$AG:$AH,2,FALSE)),0),IFERROR(VLOOKUP((AF$8&amp;"&amp;"&amp;$V25),'MASTER DATA'!$G:$M,7,FALSE)*AF$6*(VLOOKUP(AF$8,'MASTER DATA'!$AG:$AH,2,FALSE)),0))</f>
        <v>211.2</v>
      </c>
      <c r="AG25" s="60">
        <f t="shared" si="5"/>
        <v>-2110.9025246548331</v>
      </c>
      <c r="AH25" s="38"/>
      <c r="AI25" s="60">
        <f>IF(AI$6="",IFERROR(VLOOKUP((AI$8&amp;"&amp;"&amp;$V25),'MASTER DATA'!$G:$M,7,FALSE)*AI$7*(VLOOKUP(AI$8,'MASTER DATA'!$AG:$AH,2,FALSE)),0),IFERROR(VLOOKUP((AI$8&amp;"&amp;"&amp;$V25),'MASTER DATA'!$G:$M,7,FALSE)*AI$6*(VLOOKUP(AI$8,'MASTER DATA'!$AG:$AH,2,FALSE)),0))</f>
        <v>0</v>
      </c>
      <c r="AJ25" s="60">
        <f t="shared" si="6"/>
        <v>-2110.9025246548331</v>
      </c>
      <c r="AK25" s="38"/>
      <c r="AL25" s="60">
        <f>IF(AL$6="",IFERROR(VLOOKUP((AL$8&amp;"&amp;"&amp;$V25),'MASTER DATA'!$G:$M,7,FALSE)*AL$7*(VLOOKUP(AL$8,'MASTER DATA'!$AG:$AH,2,FALSE)),0),IFERROR(VLOOKUP((AL$8&amp;"&amp;"&amp;$V25),'MASTER DATA'!$G:$M,7,FALSE)*AL$6*(VLOOKUP(AL$8,'MASTER DATA'!$AG:$AH,2,FALSE)),0))</f>
        <v>0</v>
      </c>
      <c r="AM25" s="60">
        <f t="shared" si="7"/>
        <v>-2110.9025246548331</v>
      </c>
      <c r="AN25" s="38"/>
      <c r="AO25" s="60">
        <f>IF(AO$6="",IFERROR(VLOOKUP((AO$8&amp;"&amp;"&amp;$V25),'MASTER DATA'!$G:$M,7,FALSE)*AO$7*(VLOOKUP(AO$8,'MASTER DATA'!$AG:$AH,2,FALSE)),0),IFERROR(VLOOKUP((AO$8&amp;"&amp;"&amp;$V25),'MASTER DATA'!$G:$M,7,FALSE)*AO$6*(VLOOKUP(AO$8,'MASTER DATA'!$AG:$AH,2,FALSE)),0))</f>
        <v>0</v>
      </c>
      <c r="AP25" s="60">
        <f t="shared" si="8"/>
        <v>-2110.9025246548331</v>
      </c>
      <c r="AQ25" s="38"/>
      <c r="AR25" s="60">
        <f>IF(AR$6="",IFERROR(VLOOKUP((AR$8&amp;"&amp;"&amp;$V25),'MASTER DATA'!$G:$M,7,FALSE)*AR$7*(VLOOKUP(AR$8,'MASTER DATA'!$AG:$AH,2,FALSE)),0),IFERROR(VLOOKUP((AR$8&amp;"&amp;"&amp;$V25),'MASTER DATA'!$G:$M,7,FALSE)*AR$6*(VLOOKUP(AR$8,'MASTER DATA'!$AG:$AH,2,FALSE)),0))</f>
        <v>0</v>
      </c>
      <c r="AS25" s="60">
        <f t="shared" si="9"/>
        <v>-2110.9025246548331</v>
      </c>
      <c r="AT25" s="38"/>
      <c r="AU25" s="60">
        <f>IF(AU$6="",IFERROR(VLOOKUP((AU$8&amp;"&amp;"&amp;$V25),'MASTER DATA'!$G:$M,7,FALSE)*AU$7*(VLOOKUP(AU$8,'MASTER DATA'!$AG:$AH,2,FALSE)),0),IFERROR(VLOOKUP((AU$8&amp;"&amp;"&amp;$V25),'MASTER DATA'!$G:$M,7,FALSE)*AU$6*(VLOOKUP(AU$8,'MASTER DATA'!$AG:$AH,2,FALSE)),0))</f>
        <v>0</v>
      </c>
      <c r="AV25" s="60">
        <f t="shared" si="10"/>
        <v>-2110.9025246548331</v>
      </c>
      <c r="AW25" s="60">
        <v>1</v>
      </c>
      <c r="AX25" s="60">
        <f>IF(AX$6="",IFERROR(VLOOKUP((AX$8&amp;"&amp;"&amp;$V25),'MASTER DATA'!$G:$M,7,FALSE)*AX$7*(VLOOKUP(AX$8,'MASTER DATA'!$AG:$AH,2,FALSE)),0),IFERROR(VLOOKUP((AX$8&amp;"&amp;"&amp;$V25),'MASTER DATA'!$G:$M,7,FALSE)*AX$6*(VLOOKUP(AX$8,'MASTER DATA'!$AG:$AH,2,FALSE)),0))</f>
        <v>3000</v>
      </c>
      <c r="AY25" s="60">
        <f t="shared" si="11"/>
        <v>889.09747534516691</v>
      </c>
    </row>
    <row r="26" spans="1:51" x14ac:dyDescent="0.25">
      <c r="A26" s="71"/>
      <c r="B26" s="38"/>
      <c r="C26" s="211" t="s">
        <v>164</v>
      </c>
      <c r="D26" s="211" t="s">
        <v>165</v>
      </c>
      <c r="E26" s="212">
        <v>0.06</v>
      </c>
      <c r="F26" s="212">
        <v>9.1120000000000007E-2</v>
      </c>
      <c r="G26" s="211">
        <v>7</v>
      </c>
      <c r="H26" s="39">
        <f t="shared" si="12"/>
        <v>1.6153846153846151E-2</v>
      </c>
      <c r="I26" s="39"/>
      <c r="J26" s="38">
        <v>0</v>
      </c>
      <c r="K26" s="38">
        <v>0</v>
      </c>
      <c r="L26" s="40">
        <f t="shared" si="13"/>
        <v>0</v>
      </c>
      <c r="M26" s="40">
        <f t="shared" si="14"/>
        <v>0</v>
      </c>
      <c r="N26" s="41">
        <f>VLOOKUP(C26,'MASTER DATA'!B:D,3,0)</f>
        <v>1.1000000000000001</v>
      </c>
      <c r="O26" s="77">
        <f t="shared" si="15"/>
        <v>0</v>
      </c>
      <c r="P26" s="42">
        <f t="shared" si="16"/>
        <v>3.1120000000000009E-2</v>
      </c>
      <c r="Q26" s="77">
        <f t="shared" si="17"/>
        <v>13.485333333333339</v>
      </c>
      <c r="R26" s="38"/>
      <c r="S26" s="38"/>
      <c r="U26" s="27">
        <v>1.6</v>
      </c>
      <c r="V26" s="24" t="s">
        <v>339</v>
      </c>
      <c r="W26" s="19">
        <f t="shared" si="1"/>
        <v>0</v>
      </c>
      <c r="X26" s="19"/>
      <c r="Y26" s="203">
        <f t="shared" si="2"/>
        <v>0</v>
      </c>
      <c r="Z26" s="203">
        <f t="shared" si="3"/>
        <v>7364.6523063021241</v>
      </c>
      <c r="AA26" s="19">
        <f t="shared" si="4"/>
        <v>7364.6523063021241</v>
      </c>
      <c r="AB26" s="38"/>
      <c r="AC26" s="60">
        <f>IF(AC$6="",IFERROR(VLOOKUP((AC$8&amp;"&amp;"&amp;$V26),'MASTER DATA'!$G:$M,7,FALSE)*AC$7*(VLOOKUP(AC$8,'MASTER DATA'!$AG:$AH,2,FALSE)),0),IFERROR(VLOOKUP((AC$8&amp;"&amp;"&amp;$V26),'MASTER DATA'!$G:$M,7,FALSE)*AC$6*(VLOOKUP(AC$8,'MASTER DATA'!$AG:$AH,2,FALSE)),0))</f>
        <v>0</v>
      </c>
      <c r="AD26" s="60">
        <f t="shared" si="0"/>
        <v>-7364.6523063021241</v>
      </c>
      <c r="AE26" s="38"/>
      <c r="AF26" s="60">
        <f>IF(AF$6="",IFERROR(VLOOKUP((AF$8&amp;"&amp;"&amp;$V26),'MASTER DATA'!$G:$M,7,FALSE)*AF$7*(VLOOKUP(AF$8,'MASTER DATA'!$AG:$AH,2,FALSE)),0),IFERROR(VLOOKUP((AF$8&amp;"&amp;"&amp;$V26),'MASTER DATA'!$G:$M,7,FALSE)*AF$6*(VLOOKUP(AF$8,'MASTER DATA'!$AG:$AH,2,FALSE)),0))</f>
        <v>0</v>
      </c>
      <c r="AG26" s="60">
        <f t="shared" si="5"/>
        <v>-7364.6523063021241</v>
      </c>
      <c r="AH26" s="38"/>
      <c r="AI26" s="60">
        <f>IF(AI$6="",IFERROR(VLOOKUP((AI$8&amp;"&amp;"&amp;$V26),'MASTER DATA'!$G:$M,7,FALSE)*AI$7*(VLOOKUP(AI$8,'MASTER DATA'!$AG:$AH,2,FALSE)),0),IFERROR(VLOOKUP((AI$8&amp;"&amp;"&amp;$V26),'MASTER DATA'!$G:$M,7,FALSE)*AI$6*(VLOOKUP(AI$8,'MASTER DATA'!$AG:$AH,2,FALSE)),0))</f>
        <v>0</v>
      </c>
      <c r="AJ26" s="60">
        <f t="shared" si="6"/>
        <v>-7364.6523063021241</v>
      </c>
      <c r="AK26" s="38"/>
      <c r="AL26" s="60">
        <f>IF(AL$6="",IFERROR(VLOOKUP((AL$8&amp;"&amp;"&amp;$V26),'MASTER DATA'!$G:$M,7,FALSE)*AL$7*(VLOOKUP(AL$8,'MASTER DATA'!$AG:$AH,2,FALSE)),0),IFERROR(VLOOKUP((AL$8&amp;"&amp;"&amp;$V26),'MASTER DATA'!$G:$M,7,FALSE)*AL$6*(VLOOKUP(AL$8,'MASTER DATA'!$AG:$AH,2,FALSE)),0))</f>
        <v>0</v>
      </c>
      <c r="AM26" s="60">
        <f t="shared" si="7"/>
        <v>-7364.6523063021241</v>
      </c>
      <c r="AN26" s="38"/>
      <c r="AO26" s="60">
        <f>IF(AO$6="",IFERROR(VLOOKUP((AO$8&amp;"&amp;"&amp;$V26),'MASTER DATA'!$G:$M,7,FALSE)*AO$7*(VLOOKUP(AO$8,'MASTER DATA'!$AG:$AH,2,FALSE)),0),IFERROR(VLOOKUP((AO$8&amp;"&amp;"&amp;$V26),'MASTER DATA'!$G:$M,7,FALSE)*AO$6*(VLOOKUP(AO$8,'MASTER DATA'!$AG:$AH,2,FALSE)),0))</f>
        <v>0</v>
      </c>
      <c r="AP26" s="60">
        <f t="shared" si="8"/>
        <v>-7364.6523063021241</v>
      </c>
      <c r="AQ26" s="38"/>
      <c r="AR26" s="60">
        <f>IF(AR$6="",IFERROR(VLOOKUP((AR$8&amp;"&amp;"&amp;$V26),'MASTER DATA'!$G:$M,7,FALSE)*AR$7*(VLOOKUP(AR$8,'MASTER DATA'!$AG:$AH,2,FALSE)),0),IFERROR(VLOOKUP((AR$8&amp;"&amp;"&amp;$V26),'MASTER DATA'!$G:$M,7,FALSE)*AR$6*(VLOOKUP(AR$8,'MASTER DATA'!$AG:$AH,2,FALSE)),0))</f>
        <v>0</v>
      </c>
      <c r="AS26" s="60">
        <f t="shared" si="9"/>
        <v>-7364.6523063021241</v>
      </c>
      <c r="AT26" s="38"/>
      <c r="AU26" s="60">
        <f>IF(AU$6="",IFERROR(VLOOKUP((AU$8&amp;"&amp;"&amp;$V26),'MASTER DATA'!$G:$M,7,FALSE)*AU$7*(VLOOKUP(AU$8,'MASTER DATA'!$AG:$AH,2,FALSE)),0),IFERROR(VLOOKUP((AU$8&amp;"&amp;"&amp;$V26),'MASTER DATA'!$G:$M,7,FALSE)*AU$6*(VLOOKUP(AU$8,'MASTER DATA'!$AG:$AH,2,FALSE)),0))</f>
        <v>0</v>
      </c>
      <c r="AV26" s="60">
        <f t="shared" si="10"/>
        <v>-7364.6523063021241</v>
      </c>
      <c r="AW26" s="60">
        <v>1</v>
      </c>
      <c r="AX26" s="60">
        <f>IF(AX$6="",IFERROR(VLOOKUP((AX$8&amp;"&amp;"&amp;$V26),'MASTER DATA'!$G:$M,7,FALSE)*AX$7*(VLOOKUP(AX$8,'MASTER DATA'!$AG:$AH,2,FALSE)),0),IFERROR(VLOOKUP((AX$8&amp;"&amp;"&amp;$V26),'MASTER DATA'!$G:$M,7,FALSE)*AX$6*(VLOOKUP(AX$8,'MASTER DATA'!$AG:$AH,2,FALSE)),0))</f>
        <v>7090.9090909090901</v>
      </c>
      <c r="AY26" s="60">
        <f t="shared" si="11"/>
        <v>-273.74321539303401</v>
      </c>
    </row>
    <row r="27" spans="1:51" x14ac:dyDescent="0.25">
      <c r="A27" s="71"/>
      <c r="B27" s="38"/>
      <c r="C27" s="211" t="s">
        <v>378</v>
      </c>
      <c r="D27" s="211" t="s">
        <v>379</v>
      </c>
      <c r="E27" s="212">
        <v>0.46</v>
      </c>
      <c r="F27" s="212">
        <v>9.9360000000000004E-2</v>
      </c>
      <c r="G27" s="211">
        <v>7</v>
      </c>
      <c r="H27" s="39">
        <f t="shared" si="12"/>
        <v>0.12384615384615386</v>
      </c>
      <c r="I27" s="39"/>
      <c r="J27" s="38">
        <v>0</v>
      </c>
      <c r="K27" s="38">
        <v>0</v>
      </c>
      <c r="L27" s="40">
        <f t="shared" si="13"/>
        <v>0.4844861538461539</v>
      </c>
      <c r="M27" s="40">
        <f t="shared" si="14"/>
        <v>1.8634082840236689E-2</v>
      </c>
      <c r="N27" s="41">
        <f>VLOOKUP(C27,'MASTER DATA'!B:D,3,0)</f>
        <v>1.3</v>
      </c>
      <c r="O27" s="77">
        <f t="shared" si="15"/>
        <v>14.333909877105146</v>
      </c>
      <c r="P27" s="42">
        <f t="shared" si="16"/>
        <v>0.12384615384615388</v>
      </c>
      <c r="Q27" s="77">
        <f t="shared" si="17"/>
        <v>7.0000000000000009</v>
      </c>
      <c r="R27" s="38"/>
      <c r="S27" s="38"/>
      <c r="U27" s="31">
        <v>1.7</v>
      </c>
      <c r="V27" s="24" t="s">
        <v>81</v>
      </c>
      <c r="W27" s="19">
        <f t="shared" si="1"/>
        <v>0</v>
      </c>
      <c r="X27" s="19"/>
      <c r="Y27" s="203">
        <f t="shared" si="2"/>
        <v>0</v>
      </c>
      <c r="Z27" s="203">
        <f t="shared" si="3"/>
        <v>0</v>
      </c>
      <c r="AA27" s="19">
        <f t="shared" si="4"/>
        <v>0</v>
      </c>
      <c r="AB27" s="38"/>
      <c r="AC27" s="60">
        <f>IF(AC$6="",IFERROR(VLOOKUP((AC$8&amp;"&amp;"&amp;$V27),'MASTER DATA'!$G:$M,7,FALSE)*AC$7*(VLOOKUP(AC$8,'MASTER DATA'!$AG:$AH,2,FALSE)),0),IFERROR(VLOOKUP((AC$8&amp;"&amp;"&amp;$V27),'MASTER DATA'!$G:$M,7,FALSE)*AC$6*(VLOOKUP(AC$8,'MASTER DATA'!$AG:$AH,2,FALSE)),0))</f>
        <v>0</v>
      </c>
      <c r="AD27" s="60">
        <f t="shared" si="0"/>
        <v>0</v>
      </c>
      <c r="AE27" s="38"/>
      <c r="AF27" s="60">
        <f>IF(AF$6="",IFERROR(VLOOKUP((AF$8&amp;"&amp;"&amp;$V27),'MASTER DATA'!$G:$M,7,FALSE)*AF$7*(VLOOKUP(AF$8,'MASTER DATA'!$AG:$AH,2,FALSE)),0),IFERROR(VLOOKUP((AF$8&amp;"&amp;"&amp;$V27),'MASTER DATA'!$G:$M,7,FALSE)*AF$6*(VLOOKUP(AF$8,'MASTER DATA'!$AG:$AH,2,FALSE)),0))</f>
        <v>0</v>
      </c>
      <c r="AG27" s="60">
        <f t="shared" si="5"/>
        <v>0</v>
      </c>
      <c r="AH27" s="38"/>
      <c r="AI27" s="60">
        <f>IF(AI$6="",IFERROR(VLOOKUP((AI$8&amp;"&amp;"&amp;$V27),'MASTER DATA'!$G:$M,7,FALSE)*AI$7*(VLOOKUP(AI$8,'MASTER DATA'!$AG:$AH,2,FALSE)),0),IFERROR(VLOOKUP((AI$8&amp;"&amp;"&amp;$V27),'MASTER DATA'!$G:$M,7,FALSE)*AI$6*(VLOOKUP(AI$8,'MASTER DATA'!$AG:$AH,2,FALSE)),0))</f>
        <v>0</v>
      </c>
      <c r="AJ27" s="60">
        <f t="shared" si="6"/>
        <v>0</v>
      </c>
      <c r="AK27" s="38"/>
      <c r="AL27" s="60">
        <f>IF(AL$6="",IFERROR(VLOOKUP((AL$8&amp;"&amp;"&amp;$V27),'MASTER DATA'!$G:$M,7,FALSE)*AL$7*(VLOOKUP(AL$8,'MASTER DATA'!$AG:$AH,2,FALSE)),0),IFERROR(VLOOKUP((AL$8&amp;"&amp;"&amp;$V27),'MASTER DATA'!$G:$M,7,FALSE)*AL$6*(VLOOKUP(AL$8,'MASTER DATA'!$AG:$AH,2,FALSE)),0))</f>
        <v>0</v>
      </c>
      <c r="AM27" s="60">
        <f t="shared" si="7"/>
        <v>0</v>
      </c>
      <c r="AN27" s="38"/>
      <c r="AO27" s="60">
        <f>IF(AO$6="",IFERROR(VLOOKUP((AO$8&amp;"&amp;"&amp;$V27),'MASTER DATA'!$G:$M,7,FALSE)*AO$7*(VLOOKUP(AO$8,'MASTER DATA'!$AG:$AH,2,FALSE)),0),IFERROR(VLOOKUP((AO$8&amp;"&amp;"&amp;$V27),'MASTER DATA'!$G:$M,7,FALSE)*AO$6*(VLOOKUP(AO$8,'MASTER DATA'!$AG:$AH,2,FALSE)),0))</f>
        <v>0</v>
      </c>
      <c r="AP27" s="60">
        <f t="shared" si="8"/>
        <v>0</v>
      </c>
      <c r="AQ27" s="38"/>
      <c r="AR27" s="60">
        <f>IF(AR$6="",IFERROR(VLOOKUP((AR$8&amp;"&amp;"&amp;$V27),'MASTER DATA'!$G:$M,7,FALSE)*AR$7*(VLOOKUP(AR$8,'MASTER DATA'!$AG:$AH,2,FALSE)),0),IFERROR(VLOOKUP((AR$8&amp;"&amp;"&amp;$V27),'MASTER DATA'!$G:$M,7,FALSE)*AR$6*(VLOOKUP(AR$8,'MASTER DATA'!$AG:$AH,2,FALSE)),0))</f>
        <v>0</v>
      </c>
      <c r="AS27" s="60">
        <f t="shared" si="9"/>
        <v>0</v>
      </c>
      <c r="AT27" s="38"/>
      <c r="AU27" s="60">
        <f>IF(AU$6="",IFERROR(VLOOKUP((AU$8&amp;"&amp;"&amp;$V27),'MASTER DATA'!$G:$M,7,FALSE)*AU$7*(VLOOKUP(AU$8,'MASTER DATA'!$AG:$AH,2,FALSE)),0),IFERROR(VLOOKUP((AU$8&amp;"&amp;"&amp;$V27),'MASTER DATA'!$G:$M,7,FALSE)*AU$6*(VLOOKUP(AU$8,'MASTER DATA'!$AG:$AH,2,FALSE)),0))</f>
        <v>0</v>
      </c>
      <c r="AV27" s="60">
        <f t="shared" si="10"/>
        <v>0</v>
      </c>
      <c r="AW27" s="60"/>
      <c r="AX27" s="60">
        <f>IF(AX$6="",IFERROR(VLOOKUP((AX$8&amp;"&amp;"&amp;$V27),'MASTER DATA'!$G:$M,7,FALSE)*AX$7*(VLOOKUP(AX$8,'MASTER DATA'!$AG:$AH,2,FALSE)),0),IFERROR(VLOOKUP((AX$8&amp;"&amp;"&amp;$V27),'MASTER DATA'!$G:$M,7,FALSE)*AX$6*(VLOOKUP(AX$8,'MASTER DATA'!$AG:$AH,2,FALSE)),0))</f>
        <v>0</v>
      </c>
      <c r="AY27" s="60">
        <f t="shared" si="11"/>
        <v>0</v>
      </c>
    </row>
    <row r="28" spans="1:51" x14ac:dyDescent="0.25">
      <c r="A28" s="71"/>
      <c r="B28" s="38"/>
      <c r="C28" s="211" t="s">
        <v>204</v>
      </c>
      <c r="D28" s="211" t="s">
        <v>205</v>
      </c>
      <c r="E28" s="212">
        <v>1.63</v>
      </c>
      <c r="F28" s="212">
        <v>8.7620000000000003E-2</v>
      </c>
      <c r="G28" s="211">
        <v>7</v>
      </c>
      <c r="H28" s="39">
        <f t="shared" si="12"/>
        <v>0.43884615384615377</v>
      </c>
      <c r="I28" s="39"/>
      <c r="J28" s="38">
        <v>0</v>
      </c>
      <c r="K28" s="38">
        <v>0</v>
      </c>
      <c r="L28" s="40">
        <f t="shared" si="13"/>
        <v>1.9812261538461535</v>
      </c>
      <c r="M28" s="40">
        <f t="shared" si="14"/>
        <v>7.6201005917159753E-2</v>
      </c>
      <c r="N28" s="41">
        <f>VLOOKUP(C28,'MASTER DATA'!B:D,3,0)</f>
        <v>1.4</v>
      </c>
      <c r="O28" s="77">
        <f t="shared" si="15"/>
        <v>54.429289940828397</v>
      </c>
      <c r="P28" s="42">
        <f t="shared" si="16"/>
        <v>0.43884615384615344</v>
      </c>
      <c r="Q28" s="77">
        <f t="shared" si="17"/>
        <v>6.9999999999999947</v>
      </c>
      <c r="R28" s="38"/>
      <c r="S28" s="38"/>
      <c r="U28" s="35">
        <v>1.8</v>
      </c>
      <c r="V28" s="18" t="s">
        <v>82</v>
      </c>
      <c r="W28" s="19">
        <f t="shared" si="1"/>
        <v>0</v>
      </c>
      <c r="X28" s="19"/>
      <c r="Y28" s="203">
        <f t="shared" si="2"/>
        <v>0</v>
      </c>
      <c r="Z28" s="203">
        <f t="shared" si="3"/>
        <v>0</v>
      </c>
      <c r="AA28" s="19">
        <f t="shared" si="4"/>
        <v>0</v>
      </c>
      <c r="AB28" s="38"/>
      <c r="AC28" s="60">
        <f>IF(AC$6="",IFERROR(VLOOKUP((AC$8&amp;"&amp;"&amp;$V28),'MASTER DATA'!$G:$M,7,FALSE)*AC$7*(VLOOKUP(AC$8,'MASTER DATA'!$AG:$AH,2,FALSE)),0),IFERROR(VLOOKUP((AC$8&amp;"&amp;"&amp;$V28),'MASTER DATA'!$G:$M,7,FALSE)*AC$6*(VLOOKUP(AC$8,'MASTER DATA'!$AG:$AH,2,FALSE)),0))</f>
        <v>0</v>
      </c>
      <c r="AD28" s="60">
        <f t="shared" si="0"/>
        <v>0</v>
      </c>
      <c r="AE28" s="38"/>
      <c r="AF28" s="60">
        <f>IF(AF$6="",IFERROR(VLOOKUP((AF$8&amp;"&amp;"&amp;$V28),'MASTER DATA'!$G:$M,7,FALSE)*AF$7*(VLOOKUP(AF$8,'MASTER DATA'!$AG:$AH,2,FALSE)),0),IFERROR(VLOOKUP((AF$8&amp;"&amp;"&amp;$V28),'MASTER DATA'!$G:$M,7,FALSE)*AF$6*(VLOOKUP(AF$8,'MASTER DATA'!$AG:$AH,2,FALSE)),0))</f>
        <v>0</v>
      </c>
      <c r="AG28" s="60">
        <f t="shared" si="5"/>
        <v>0</v>
      </c>
      <c r="AH28" s="38"/>
      <c r="AI28" s="60">
        <f>IF(AI$6="",IFERROR(VLOOKUP((AI$8&amp;"&amp;"&amp;$V28),'MASTER DATA'!$G:$M,7,FALSE)*AI$7*(VLOOKUP(AI$8,'MASTER DATA'!$AG:$AH,2,FALSE)),0),IFERROR(VLOOKUP((AI$8&amp;"&amp;"&amp;$V28),'MASTER DATA'!$G:$M,7,FALSE)*AI$6*(VLOOKUP(AI$8,'MASTER DATA'!$AG:$AH,2,FALSE)),0))</f>
        <v>0</v>
      </c>
      <c r="AJ28" s="60">
        <f t="shared" si="6"/>
        <v>0</v>
      </c>
      <c r="AK28" s="38"/>
      <c r="AL28" s="60">
        <f>IF(AL$6="",IFERROR(VLOOKUP((AL$8&amp;"&amp;"&amp;$V28),'MASTER DATA'!$G:$M,7,FALSE)*AL$7*(VLOOKUP(AL$8,'MASTER DATA'!$AG:$AH,2,FALSE)),0),IFERROR(VLOOKUP((AL$8&amp;"&amp;"&amp;$V28),'MASTER DATA'!$G:$M,7,FALSE)*AL$6*(VLOOKUP(AL$8,'MASTER DATA'!$AG:$AH,2,FALSE)),0))</f>
        <v>0</v>
      </c>
      <c r="AM28" s="60">
        <f t="shared" si="7"/>
        <v>0</v>
      </c>
      <c r="AN28" s="38"/>
      <c r="AO28" s="60">
        <f>IF(AO$6="",IFERROR(VLOOKUP((AO$8&amp;"&amp;"&amp;$V28),'MASTER DATA'!$G:$M,7,FALSE)*AO$7*(VLOOKUP(AO$8,'MASTER DATA'!$AG:$AH,2,FALSE)),0),IFERROR(VLOOKUP((AO$8&amp;"&amp;"&amp;$V28),'MASTER DATA'!$G:$M,7,FALSE)*AO$6*(VLOOKUP(AO$8,'MASTER DATA'!$AG:$AH,2,FALSE)),0))</f>
        <v>0</v>
      </c>
      <c r="AP28" s="60">
        <f t="shared" si="8"/>
        <v>0</v>
      </c>
      <c r="AQ28" s="38"/>
      <c r="AR28" s="60">
        <f>IF(AR$6="",IFERROR(VLOOKUP((AR$8&amp;"&amp;"&amp;$V28),'MASTER DATA'!$G:$M,7,FALSE)*AR$7*(VLOOKUP(AR$8,'MASTER DATA'!$AG:$AH,2,FALSE)),0),IFERROR(VLOOKUP((AR$8&amp;"&amp;"&amp;$V28),'MASTER DATA'!$G:$M,7,FALSE)*AR$6*(VLOOKUP(AR$8,'MASTER DATA'!$AG:$AH,2,FALSE)),0))</f>
        <v>0</v>
      </c>
      <c r="AS28" s="60">
        <f t="shared" si="9"/>
        <v>0</v>
      </c>
      <c r="AT28" s="38"/>
      <c r="AU28" s="60">
        <f>IF(AU$6="",IFERROR(VLOOKUP((AU$8&amp;"&amp;"&amp;$V28),'MASTER DATA'!$G:$M,7,FALSE)*AU$7*(VLOOKUP(AU$8,'MASTER DATA'!$AG:$AH,2,FALSE)),0),IFERROR(VLOOKUP((AU$8&amp;"&amp;"&amp;$V28),'MASTER DATA'!$G:$M,7,FALSE)*AU$6*(VLOOKUP(AU$8,'MASTER DATA'!$AG:$AH,2,FALSE)),0))</f>
        <v>0</v>
      </c>
      <c r="AV28" s="60">
        <f t="shared" si="10"/>
        <v>0</v>
      </c>
      <c r="AW28" s="60"/>
      <c r="AX28" s="60">
        <f>IF(AX$6="",IFERROR(VLOOKUP((AX$8&amp;"&amp;"&amp;$V28),'MASTER DATA'!$G:$M,7,FALSE)*AX$7*(VLOOKUP(AX$8,'MASTER DATA'!$AG:$AH,2,FALSE)),0),IFERROR(VLOOKUP((AX$8&amp;"&amp;"&amp;$V28),'MASTER DATA'!$G:$M,7,FALSE)*AX$6*(VLOOKUP(AX$8,'MASTER DATA'!$AG:$AH,2,FALSE)),0))</f>
        <v>0</v>
      </c>
      <c r="AY28" s="60">
        <f t="shared" si="11"/>
        <v>0</v>
      </c>
    </row>
    <row r="29" spans="1:51" x14ac:dyDescent="0.25">
      <c r="A29" s="71"/>
      <c r="B29" s="38"/>
      <c r="C29" s="211" t="s">
        <v>380</v>
      </c>
      <c r="D29" s="211" t="s">
        <v>381</v>
      </c>
      <c r="E29" s="212">
        <v>0.64</v>
      </c>
      <c r="F29" s="212">
        <v>2.8079999999999997E-2</v>
      </c>
      <c r="G29" s="211">
        <v>7</v>
      </c>
      <c r="H29" s="39">
        <f t="shared" si="12"/>
        <v>0.1723076923076923</v>
      </c>
      <c r="I29" s="39"/>
      <c r="J29" s="38">
        <v>0</v>
      </c>
      <c r="K29" s="38">
        <v>0</v>
      </c>
      <c r="L29" s="40">
        <f t="shared" si="13"/>
        <v>0.78422769230769229</v>
      </c>
      <c r="M29" s="40">
        <f t="shared" si="14"/>
        <v>3.0162603550295857E-2</v>
      </c>
      <c r="N29" s="41">
        <f>VLOOKUP(C29,'MASTER DATA'!B:D,3,0)</f>
        <v>1.3</v>
      </c>
      <c r="O29" s="77">
        <f t="shared" si="15"/>
        <v>23.20200273099681</v>
      </c>
      <c r="P29" s="42">
        <f t="shared" si="16"/>
        <v>0.17230769230769227</v>
      </c>
      <c r="Q29" s="77">
        <f t="shared" si="17"/>
        <v>6.9999999999999982</v>
      </c>
      <c r="R29" s="38"/>
      <c r="S29" s="38"/>
      <c r="U29" s="35">
        <v>1.9</v>
      </c>
      <c r="V29" s="24" t="s">
        <v>83</v>
      </c>
      <c r="W29" s="19">
        <f t="shared" si="1"/>
        <v>0</v>
      </c>
      <c r="X29" s="19"/>
      <c r="Y29" s="203">
        <f t="shared" si="2"/>
        <v>0</v>
      </c>
      <c r="Z29" s="203">
        <f t="shared" si="3"/>
        <v>0</v>
      </c>
      <c r="AA29" s="19">
        <f t="shared" si="4"/>
        <v>0</v>
      </c>
      <c r="AB29" s="38"/>
      <c r="AC29" s="60">
        <f>IF(AC$6="",IFERROR(VLOOKUP((AC$8&amp;"&amp;"&amp;$V29),'MASTER DATA'!$G:$M,7,FALSE)*AC$7*(VLOOKUP(AC$8,'MASTER DATA'!$AG:$AH,2,FALSE)),0),IFERROR(VLOOKUP((AC$8&amp;"&amp;"&amp;$V29),'MASTER DATA'!$G:$M,7,FALSE)*AC$6*(VLOOKUP(AC$8,'MASTER DATA'!$AG:$AH,2,FALSE)),0))</f>
        <v>0</v>
      </c>
      <c r="AD29" s="60">
        <f t="shared" si="0"/>
        <v>0</v>
      </c>
      <c r="AE29" s="38"/>
      <c r="AF29" s="60">
        <f>IF(AF$6="",IFERROR(VLOOKUP((AF$8&amp;"&amp;"&amp;$V29),'MASTER DATA'!$G:$M,7,FALSE)*AF$7*(VLOOKUP(AF$8,'MASTER DATA'!$AG:$AH,2,FALSE)),0),IFERROR(VLOOKUP((AF$8&amp;"&amp;"&amp;$V29),'MASTER DATA'!$G:$M,7,FALSE)*AF$6*(VLOOKUP(AF$8,'MASTER DATA'!$AG:$AH,2,FALSE)),0))</f>
        <v>0</v>
      </c>
      <c r="AG29" s="60">
        <f t="shared" si="5"/>
        <v>0</v>
      </c>
      <c r="AH29" s="38"/>
      <c r="AI29" s="60">
        <f>IF(AI$6="",IFERROR(VLOOKUP((AI$8&amp;"&amp;"&amp;$V29),'MASTER DATA'!$G:$M,7,FALSE)*AI$7*(VLOOKUP(AI$8,'MASTER DATA'!$AG:$AH,2,FALSE)),0),IFERROR(VLOOKUP((AI$8&amp;"&amp;"&amp;$V29),'MASTER DATA'!$G:$M,7,FALSE)*AI$6*(VLOOKUP(AI$8,'MASTER DATA'!$AG:$AH,2,FALSE)),0))</f>
        <v>0</v>
      </c>
      <c r="AJ29" s="60">
        <f t="shared" si="6"/>
        <v>0</v>
      </c>
      <c r="AK29" s="38"/>
      <c r="AL29" s="60">
        <f>IF(AL$6="",IFERROR(VLOOKUP((AL$8&amp;"&amp;"&amp;$V29),'MASTER DATA'!$G:$M,7,FALSE)*AL$7*(VLOOKUP(AL$8,'MASTER DATA'!$AG:$AH,2,FALSE)),0),IFERROR(VLOOKUP((AL$8&amp;"&amp;"&amp;$V29),'MASTER DATA'!$G:$M,7,FALSE)*AL$6*(VLOOKUP(AL$8,'MASTER DATA'!$AG:$AH,2,FALSE)),0))</f>
        <v>0</v>
      </c>
      <c r="AM29" s="60">
        <f t="shared" si="7"/>
        <v>0</v>
      </c>
      <c r="AN29" s="38"/>
      <c r="AO29" s="60">
        <f>IF(AO$6="",IFERROR(VLOOKUP((AO$8&amp;"&amp;"&amp;$V29),'MASTER DATA'!$G:$M,7,FALSE)*AO$7*(VLOOKUP(AO$8,'MASTER DATA'!$AG:$AH,2,FALSE)),0),IFERROR(VLOOKUP((AO$8&amp;"&amp;"&amp;$V29),'MASTER DATA'!$G:$M,7,FALSE)*AO$6*(VLOOKUP(AO$8,'MASTER DATA'!$AG:$AH,2,FALSE)),0))</f>
        <v>0</v>
      </c>
      <c r="AP29" s="60">
        <f t="shared" si="8"/>
        <v>0</v>
      </c>
      <c r="AQ29" s="38"/>
      <c r="AR29" s="60">
        <f>IF(AR$6="",IFERROR(VLOOKUP((AR$8&amp;"&amp;"&amp;$V29),'MASTER DATA'!$G:$M,7,FALSE)*AR$7*(VLOOKUP(AR$8,'MASTER DATA'!$AG:$AH,2,FALSE)),0),IFERROR(VLOOKUP((AR$8&amp;"&amp;"&amp;$V29),'MASTER DATA'!$G:$M,7,FALSE)*AR$6*(VLOOKUP(AR$8,'MASTER DATA'!$AG:$AH,2,FALSE)),0))</f>
        <v>0</v>
      </c>
      <c r="AS29" s="60">
        <f t="shared" si="9"/>
        <v>0</v>
      </c>
      <c r="AT29" s="38"/>
      <c r="AU29" s="60">
        <f>IF(AU$6="",IFERROR(VLOOKUP((AU$8&amp;"&amp;"&amp;$V29),'MASTER DATA'!$G:$M,7,FALSE)*AU$7*(VLOOKUP(AU$8,'MASTER DATA'!$AG:$AH,2,FALSE)),0),IFERROR(VLOOKUP((AU$8&amp;"&amp;"&amp;$V29),'MASTER DATA'!$G:$M,7,FALSE)*AU$6*(VLOOKUP(AU$8,'MASTER DATA'!$AG:$AH,2,FALSE)),0))</f>
        <v>0</v>
      </c>
      <c r="AV29" s="60">
        <f t="shared" si="10"/>
        <v>0</v>
      </c>
      <c r="AW29" s="60"/>
      <c r="AX29" s="60">
        <f>IF(AX$6="",IFERROR(VLOOKUP((AX$8&amp;"&amp;"&amp;$V29),'MASTER DATA'!$G:$M,7,FALSE)*AX$7*(VLOOKUP(AX$8,'MASTER DATA'!$AG:$AH,2,FALSE)),0),IFERROR(VLOOKUP((AX$8&amp;"&amp;"&amp;$V29),'MASTER DATA'!$G:$M,7,FALSE)*AX$6*(VLOOKUP(AX$8,'MASTER DATA'!$AG:$AH,2,FALSE)),0))</f>
        <v>0</v>
      </c>
      <c r="AY29" s="60">
        <f t="shared" si="11"/>
        <v>0</v>
      </c>
    </row>
    <row r="30" spans="1:51" x14ac:dyDescent="0.25">
      <c r="A30" s="71"/>
      <c r="B30" s="38"/>
      <c r="C30" s="211" t="s">
        <v>206</v>
      </c>
      <c r="D30" s="211" t="s">
        <v>207</v>
      </c>
      <c r="E30" s="212">
        <v>0.46</v>
      </c>
      <c r="F30" s="212">
        <v>0</v>
      </c>
      <c r="G30" s="211">
        <v>7</v>
      </c>
      <c r="H30" s="39">
        <f t="shared" si="12"/>
        <v>0.12384615384615386</v>
      </c>
      <c r="I30" s="39"/>
      <c r="J30" s="38">
        <v>0</v>
      </c>
      <c r="K30" s="38">
        <v>0</v>
      </c>
      <c r="L30" s="40">
        <f t="shared" si="13"/>
        <v>0.5838461538461539</v>
      </c>
      <c r="M30" s="40">
        <f t="shared" si="14"/>
        <v>2.2455621301775149E-2</v>
      </c>
      <c r="N30" s="41">
        <f>VLOOKUP(C30,'MASTER DATA'!B:D,3,0)</f>
        <v>1</v>
      </c>
      <c r="O30" s="77">
        <f t="shared" si="15"/>
        <v>22.45562130177515</v>
      </c>
      <c r="P30" s="42">
        <f t="shared" si="16"/>
        <v>0.12384615384615388</v>
      </c>
      <c r="Q30" s="77">
        <f t="shared" si="17"/>
        <v>7.0000000000000009</v>
      </c>
      <c r="R30" s="38"/>
      <c r="S30" s="38"/>
      <c r="U30" s="35">
        <v>2</v>
      </c>
      <c r="V30" s="24" t="s">
        <v>84</v>
      </c>
      <c r="W30" s="19">
        <f t="shared" si="1"/>
        <v>0</v>
      </c>
      <c r="X30" s="19"/>
      <c r="Y30" s="203">
        <f t="shared" si="2"/>
        <v>0</v>
      </c>
      <c r="Z30" s="203">
        <f t="shared" si="3"/>
        <v>0</v>
      </c>
      <c r="AA30" s="19">
        <f t="shared" si="4"/>
        <v>0</v>
      </c>
      <c r="AB30" s="38"/>
      <c r="AC30" s="60">
        <f>IF(AC$6="",IFERROR(VLOOKUP((AC$8&amp;"&amp;"&amp;$V30),'MASTER DATA'!$G:$M,7,FALSE)*AC$7*(VLOOKUP(AC$8,'MASTER DATA'!$AG:$AH,2,FALSE)),0),IFERROR(VLOOKUP((AC$8&amp;"&amp;"&amp;$V30),'MASTER DATA'!$G:$M,7,FALSE)*AC$6*(VLOOKUP(AC$8,'MASTER DATA'!$AG:$AH,2,FALSE)),0))</f>
        <v>0</v>
      </c>
      <c r="AD30" s="60">
        <f t="shared" si="0"/>
        <v>0</v>
      </c>
      <c r="AE30" s="38"/>
      <c r="AF30" s="60">
        <f>IF(AF$6="",IFERROR(VLOOKUP((AF$8&amp;"&amp;"&amp;$V30),'MASTER DATA'!$G:$M,7,FALSE)*AF$7*(VLOOKUP(AF$8,'MASTER DATA'!$AG:$AH,2,FALSE)),0),IFERROR(VLOOKUP((AF$8&amp;"&amp;"&amp;$V30),'MASTER DATA'!$G:$M,7,FALSE)*AF$6*(VLOOKUP(AF$8,'MASTER DATA'!$AG:$AH,2,FALSE)),0))</f>
        <v>0</v>
      </c>
      <c r="AG30" s="60">
        <f t="shared" si="5"/>
        <v>0</v>
      </c>
      <c r="AH30" s="38"/>
      <c r="AI30" s="60">
        <f>IF(AI$6="",IFERROR(VLOOKUP((AI$8&amp;"&amp;"&amp;$V30),'MASTER DATA'!$G:$M,7,FALSE)*AI$7*(VLOOKUP(AI$8,'MASTER DATA'!$AG:$AH,2,FALSE)),0),IFERROR(VLOOKUP((AI$8&amp;"&amp;"&amp;$V30),'MASTER DATA'!$G:$M,7,FALSE)*AI$6*(VLOOKUP(AI$8,'MASTER DATA'!$AG:$AH,2,FALSE)),0))</f>
        <v>0</v>
      </c>
      <c r="AJ30" s="60">
        <f t="shared" si="6"/>
        <v>0</v>
      </c>
      <c r="AK30" s="38"/>
      <c r="AL30" s="60">
        <f>IF(AL$6="",IFERROR(VLOOKUP((AL$8&amp;"&amp;"&amp;$V30),'MASTER DATA'!$G:$M,7,FALSE)*AL$7*(VLOOKUP(AL$8,'MASTER DATA'!$AG:$AH,2,FALSE)),0),IFERROR(VLOOKUP((AL$8&amp;"&amp;"&amp;$V30),'MASTER DATA'!$G:$M,7,FALSE)*AL$6*(VLOOKUP(AL$8,'MASTER DATA'!$AG:$AH,2,FALSE)),0))</f>
        <v>0</v>
      </c>
      <c r="AM30" s="60">
        <f t="shared" si="7"/>
        <v>0</v>
      </c>
      <c r="AN30" s="38"/>
      <c r="AO30" s="60">
        <f>IF(AO$6="",IFERROR(VLOOKUP((AO$8&amp;"&amp;"&amp;$V30),'MASTER DATA'!$G:$M,7,FALSE)*AO$7*(VLOOKUP(AO$8,'MASTER DATA'!$AG:$AH,2,FALSE)),0),IFERROR(VLOOKUP((AO$8&amp;"&amp;"&amp;$V30),'MASTER DATA'!$G:$M,7,FALSE)*AO$6*(VLOOKUP(AO$8,'MASTER DATA'!$AG:$AH,2,FALSE)),0))</f>
        <v>0</v>
      </c>
      <c r="AP30" s="60">
        <f t="shared" si="8"/>
        <v>0</v>
      </c>
      <c r="AQ30" s="38"/>
      <c r="AR30" s="60">
        <f>IF(AR$6="",IFERROR(VLOOKUP((AR$8&amp;"&amp;"&amp;$V30),'MASTER DATA'!$G:$M,7,FALSE)*AR$7*(VLOOKUP(AR$8,'MASTER DATA'!$AG:$AH,2,FALSE)),0),IFERROR(VLOOKUP((AR$8&amp;"&amp;"&amp;$V30),'MASTER DATA'!$G:$M,7,FALSE)*AR$6*(VLOOKUP(AR$8,'MASTER DATA'!$AG:$AH,2,FALSE)),0))</f>
        <v>0</v>
      </c>
      <c r="AS30" s="60">
        <f t="shared" si="9"/>
        <v>0</v>
      </c>
      <c r="AT30" s="38"/>
      <c r="AU30" s="60">
        <f>IF(AU$6="",IFERROR(VLOOKUP((AU$8&amp;"&amp;"&amp;$V30),'MASTER DATA'!$G:$M,7,FALSE)*AU$7*(VLOOKUP(AU$8,'MASTER DATA'!$AG:$AH,2,FALSE)),0),IFERROR(VLOOKUP((AU$8&amp;"&amp;"&amp;$V30),'MASTER DATA'!$G:$M,7,FALSE)*AU$6*(VLOOKUP(AU$8,'MASTER DATA'!$AG:$AH,2,FALSE)),0))</f>
        <v>0</v>
      </c>
      <c r="AV30" s="60">
        <f t="shared" si="10"/>
        <v>0</v>
      </c>
      <c r="AW30" s="60"/>
      <c r="AX30" s="60">
        <f>IF(AX$6="",IFERROR(VLOOKUP((AX$8&amp;"&amp;"&amp;$V30),'MASTER DATA'!$G:$M,7,FALSE)*AX$7*(VLOOKUP(AX$8,'MASTER DATA'!$AG:$AH,2,FALSE)),0),IFERROR(VLOOKUP((AX$8&amp;"&amp;"&amp;$V30),'MASTER DATA'!$G:$M,7,FALSE)*AX$6*(VLOOKUP(AX$8,'MASTER DATA'!$AG:$AH,2,FALSE)),0))</f>
        <v>0</v>
      </c>
      <c r="AY30" s="60">
        <f t="shared" si="11"/>
        <v>0</v>
      </c>
    </row>
    <row r="31" spans="1:51" x14ac:dyDescent="0.25">
      <c r="A31" s="71"/>
      <c r="B31" s="38"/>
      <c r="C31" s="211" t="s">
        <v>0</v>
      </c>
      <c r="D31" s="211" t="s">
        <v>1</v>
      </c>
      <c r="E31" s="212">
        <v>5.8195800000000011</v>
      </c>
      <c r="F31" s="212">
        <v>1.4824999999999997</v>
      </c>
      <c r="G31" s="211">
        <v>7</v>
      </c>
      <c r="H31" s="39">
        <f t="shared" si="12"/>
        <v>1.5668100000000003</v>
      </c>
      <c r="I31" s="39"/>
      <c r="J31" s="38">
        <v>0</v>
      </c>
      <c r="K31" s="38">
        <v>0</v>
      </c>
      <c r="L31" s="40">
        <f t="shared" ref="L31:L81" si="18">IF(((E31-F31)+(H31)-(J31)+(K31))&lt;0,0,((E31-F31)+(H31)-(J31)+(K31)-I31))</f>
        <v>5.9038900000000014</v>
      </c>
      <c r="M31" s="40">
        <f t="shared" si="14"/>
        <v>0.22707269230769236</v>
      </c>
      <c r="N31" s="41">
        <f>VLOOKUP(C31,'MASTER DATA'!B:D,3,0)</f>
        <v>1.1000000000000001</v>
      </c>
      <c r="O31" s="77">
        <f t="shared" si="15"/>
        <v>206.42972027972033</v>
      </c>
      <c r="P31" s="42">
        <f t="shared" si="16"/>
        <v>1.5668100000000003</v>
      </c>
      <c r="Q31" s="77">
        <f t="shared" si="17"/>
        <v>7</v>
      </c>
      <c r="R31" s="38"/>
      <c r="S31" s="38"/>
      <c r="W31" s="204">
        <f t="shared" ref="W31:Z31" si="19">SUM(W13:W30)</f>
        <v>27173.826354785913</v>
      </c>
      <c r="X31" s="204">
        <f t="shared" si="19"/>
        <v>0</v>
      </c>
      <c r="Y31" s="204">
        <f t="shared" si="19"/>
        <v>475.16313943500643</v>
      </c>
      <c r="Z31" s="204">
        <f t="shared" si="19"/>
        <v>7364.6523063021241</v>
      </c>
      <c r="AA31" s="202">
        <f>SUM(AA13:AA30)</f>
        <v>35013.641800523044</v>
      </c>
      <c r="AB31" s="53"/>
      <c r="AC31" s="76">
        <f>SUM(AC13:AC30)</f>
        <v>15360.000000000002</v>
      </c>
      <c r="AD31" s="76">
        <f>SUM(AD13:AD30)</f>
        <v>-19653.641800523044</v>
      </c>
      <c r="AE31" s="53"/>
      <c r="AF31" s="76">
        <f>SUM(AF13:AF30)</f>
        <v>21120</v>
      </c>
      <c r="AG31" s="76">
        <f>SUM(AG13:AG30)</f>
        <v>1466.3581994769584</v>
      </c>
      <c r="AH31" s="53"/>
      <c r="AI31" s="76">
        <f>SUM(AI13:AI30)</f>
        <v>0</v>
      </c>
      <c r="AJ31" s="76">
        <f>SUM(AJ13:AJ30)</f>
        <v>1466.3581994769584</v>
      </c>
      <c r="AK31" s="53"/>
      <c r="AL31" s="76">
        <f>SUM(AL13:AL30)</f>
        <v>0</v>
      </c>
      <c r="AM31" s="76">
        <f>SUM(AM13:AM30)</f>
        <v>1466.3581994769584</v>
      </c>
      <c r="AN31" s="53"/>
      <c r="AO31" s="76">
        <f>SUM(AO13:AO30)</f>
        <v>0</v>
      </c>
      <c r="AP31" s="76">
        <f>SUM(AP13:AP30)</f>
        <v>1466.3581994769584</v>
      </c>
      <c r="AQ31" s="53"/>
      <c r="AR31" s="76">
        <f>SUM(AR13:AR30)</f>
        <v>0</v>
      </c>
      <c r="AS31" s="76">
        <f>SUM(AS13:AS30)</f>
        <v>1466.3581994769584</v>
      </c>
      <c r="AT31" s="53"/>
      <c r="AU31" s="76">
        <f>SUM(AU13:AU30)</f>
        <v>0</v>
      </c>
      <c r="AV31" s="76">
        <f>SUM(AV13:AV30)</f>
        <v>1466.3581994769584</v>
      </c>
      <c r="AW31" s="76"/>
      <c r="AX31" s="76">
        <f>SUM(AX13:AX30)</f>
        <v>13636.363636363636</v>
      </c>
      <c r="AY31" s="76">
        <f>SUM(AY13:AY30)</f>
        <v>15102.721835840595</v>
      </c>
    </row>
    <row r="32" spans="1:51" x14ac:dyDescent="0.25">
      <c r="A32" s="71"/>
      <c r="B32" s="38"/>
      <c r="C32" s="211" t="s">
        <v>168</v>
      </c>
      <c r="D32" s="211" t="s">
        <v>169</v>
      </c>
      <c r="E32" s="212">
        <v>0.12067000000000001</v>
      </c>
      <c r="F32" s="212">
        <v>7.4299999999999991E-2</v>
      </c>
      <c r="G32" s="211">
        <v>7</v>
      </c>
      <c r="H32" s="39">
        <f t="shared" si="12"/>
        <v>3.2488076923076925E-2</v>
      </c>
      <c r="I32" s="39"/>
      <c r="J32" s="38">
        <v>0</v>
      </c>
      <c r="K32" s="38">
        <v>0</v>
      </c>
      <c r="L32" s="40">
        <f t="shared" si="18"/>
        <v>7.8858076923076947E-2</v>
      </c>
      <c r="M32" s="40">
        <f t="shared" si="14"/>
        <v>3.0330029585798825E-3</v>
      </c>
      <c r="N32" s="41">
        <f>VLOOKUP(C32,'MASTER DATA'!B:D,3,0)</f>
        <v>1.1000000000000001</v>
      </c>
      <c r="O32" s="77">
        <f t="shared" si="15"/>
        <v>2.7572754168908018</v>
      </c>
      <c r="P32" s="42">
        <f t="shared" si="16"/>
        <v>3.2488076923076911E-2</v>
      </c>
      <c r="Q32" s="77">
        <f t="shared" si="17"/>
        <v>6.9999999999999964</v>
      </c>
      <c r="R32" s="38"/>
      <c r="S32" s="38"/>
      <c r="AA32" s="209"/>
    </row>
    <row r="33" spans="1:52" x14ac:dyDescent="0.25">
      <c r="A33" s="71"/>
      <c r="B33" s="38"/>
      <c r="C33" s="211" t="s">
        <v>382</v>
      </c>
      <c r="D33" s="211" t="s">
        <v>383</v>
      </c>
      <c r="E33" s="212">
        <v>0.43</v>
      </c>
      <c r="F33" s="212">
        <v>7.4439999999999992E-2</v>
      </c>
      <c r="G33" s="211">
        <v>7</v>
      </c>
      <c r="H33" s="39">
        <f t="shared" si="12"/>
        <v>0.11576923076923076</v>
      </c>
      <c r="I33" s="39"/>
      <c r="J33" s="38">
        <v>0</v>
      </c>
      <c r="K33" s="38">
        <v>0</v>
      </c>
      <c r="L33" s="40">
        <f t="shared" si="18"/>
        <v>0.47132923076923072</v>
      </c>
      <c r="M33" s="40">
        <f t="shared" si="14"/>
        <v>1.8128047337278106E-2</v>
      </c>
      <c r="N33" s="41">
        <f>VLOOKUP(C33,'MASTER DATA'!B:D,3,0)</f>
        <v>1.1000000000000001</v>
      </c>
      <c r="O33" s="77">
        <f t="shared" si="15"/>
        <v>16.480043033889185</v>
      </c>
      <c r="P33" s="42">
        <f t="shared" si="16"/>
        <v>0.11576923076923068</v>
      </c>
      <c r="Q33" s="77">
        <f t="shared" si="17"/>
        <v>6.9999999999999956</v>
      </c>
      <c r="R33" s="38"/>
      <c r="S33" s="38"/>
    </row>
    <row r="34" spans="1:52" x14ac:dyDescent="0.25">
      <c r="A34" s="71"/>
      <c r="B34" s="38"/>
      <c r="C34" s="211" t="s">
        <v>384</v>
      </c>
      <c r="D34" s="211" t="s">
        <v>385</v>
      </c>
      <c r="E34" s="212">
        <v>0.21906</v>
      </c>
      <c r="F34" s="212">
        <v>1.5626600000000002</v>
      </c>
      <c r="G34" s="211">
        <v>7</v>
      </c>
      <c r="H34" s="39">
        <f t="shared" si="12"/>
        <v>5.8977692307692314E-2</v>
      </c>
      <c r="I34" s="39"/>
      <c r="J34" s="38">
        <v>0</v>
      </c>
      <c r="K34" s="38">
        <v>0</v>
      </c>
      <c r="L34" s="40">
        <f t="shared" si="18"/>
        <v>0</v>
      </c>
      <c r="M34" s="40">
        <f t="shared" si="14"/>
        <v>0</v>
      </c>
      <c r="N34" s="41">
        <f>VLOOKUP(C34,'MASTER DATA'!B:D,3,0)</f>
        <v>1.2</v>
      </c>
      <c r="O34" s="77">
        <f t="shared" si="15"/>
        <v>0</v>
      </c>
      <c r="P34" s="42">
        <f t="shared" si="16"/>
        <v>1.3436000000000001</v>
      </c>
      <c r="Q34" s="77">
        <f t="shared" si="17"/>
        <v>159.47046471286407</v>
      </c>
      <c r="R34" s="38"/>
      <c r="S34" s="38"/>
      <c r="AB34" s="114" t="s">
        <v>358</v>
      </c>
      <c r="AC34" s="205"/>
      <c r="AD34" s="104"/>
      <c r="AE34" s="104"/>
      <c r="AF34" s="205"/>
      <c r="AG34" s="104"/>
      <c r="AH34" s="104"/>
      <c r="AI34" s="205"/>
      <c r="AJ34" s="104"/>
      <c r="AK34" s="104"/>
      <c r="AL34" s="205"/>
      <c r="AM34" s="104"/>
      <c r="AN34" s="104"/>
      <c r="AO34" s="205"/>
      <c r="AP34" s="104"/>
      <c r="AQ34" s="104"/>
      <c r="AR34" s="205"/>
      <c r="AS34" s="104"/>
      <c r="AT34" s="104"/>
      <c r="AU34" s="205"/>
      <c r="AV34" s="104"/>
      <c r="AW34" s="104"/>
      <c r="AX34" s="205"/>
      <c r="AY34" s="104"/>
      <c r="AZ34">
        <f>SUM(AC34:AY34)</f>
        <v>0</v>
      </c>
    </row>
    <row r="35" spans="1:52" x14ac:dyDescent="0.25">
      <c r="A35" s="71"/>
      <c r="B35" s="38"/>
      <c r="C35" s="211" t="s">
        <v>386</v>
      </c>
      <c r="D35" s="211" t="s">
        <v>387</v>
      </c>
      <c r="E35" s="212">
        <v>1.3</v>
      </c>
      <c r="F35" s="212">
        <v>6.1929999999999999E-2</v>
      </c>
      <c r="G35" s="211">
        <v>7</v>
      </c>
      <c r="H35" s="39">
        <f t="shared" si="12"/>
        <v>0.35000000000000003</v>
      </c>
      <c r="I35" s="39"/>
      <c r="J35" s="38">
        <v>0</v>
      </c>
      <c r="K35" s="38">
        <v>0</v>
      </c>
      <c r="L35" s="40">
        <f t="shared" si="18"/>
        <v>1.5880700000000001</v>
      </c>
      <c r="M35" s="40">
        <f t="shared" si="14"/>
        <v>6.1079615384615385E-2</v>
      </c>
      <c r="N35" s="41">
        <f>VLOOKUP(C35,'MASTER DATA'!B:D,3,0)</f>
        <v>0.9</v>
      </c>
      <c r="O35" s="77">
        <f t="shared" si="15"/>
        <v>67.866239316239316</v>
      </c>
      <c r="P35" s="42">
        <f t="shared" si="16"/>
        <v>0.35000000000000009</v>
      </c>
      <c r="Q35" s="77">
        <f t="shared" si="17"/>
        <v>7.0000000000000018</v>
      </c>
      <c r="R35" s="38"/>
      <c r="S35" s="38"/>
      <c r="AB35" s="112" t="s">
        <v>147</v>
      </c>
      <c r="AC35" s="98">
        <f>IFERROR(ROUNDUP(AC37/VLOOKUP(AC36,'MASTER DATA'!$AG:$AH,2,FALSE),0),0)</f>
        <v>0</v>
      </c>
      <c r="AD35" s="94"/>
      <c r="AE35" s="94"/>
      <c r="AF35" s="98">
        <f>IFERROR(ROUNDUP(AF37/VLOOKUP(AF36,'MASTER DATA'!$AG:$AH,2,FALSE),0),0)</f>
        <v>0</v>
      </c>
      <c r="AG35" s="94"/>
      <c r="AH35" s="94"/>
      <c r="AI35" s="98">
        <f>IFERROR(ROUNDUP(AI37/VLOOKUP(AI36,'MASTER DATA'!$AG:$AH,2,FALSE),0),0)</f>
        <v>0</v>
      </c>
      <c r="AJ35" s="94"/>
      <c r="AK35" s="94"/>
      <c r="AL35" s="98">
        <f>IFERROR(ROUNDUP(AL37/VLOOKUP(AL36,'MASTER DATA'!$AG:$AH,2,FALSE),0),0)</f>
        <v>1</v>
      </c>
      <c r="AM35" s="94"/>
      <c r="AN35" s="94"/>
      <c r="AO35" s="98">
        <f>IFERROR(ROUNDUP(AO37/VLOOKUP(AO36,'MASTER DATA'!$AG:$AH,2,FALSE),0),0)</f>
        <v>0</v>
      </c>
      <c r="AP35" s="94"/>
      <c r="AQ35" s="94"/>
      <c r="AR35" s="98">
        <f>IFERROR(ROUNDUP(AR37/VLOOKUP(AR36,'MASTER DATA'!$AG:$AH,2,FALSE),0),0)</f>
        <v>0</v>
      </c>
      <c r="AS35" s="94"/>
      <c r="AT35" s="94"/>
      <c r="AU35" s="98">
        <f>IFERROR(ROUNDUP(AU37/VLOOKUP(AU36,'MASTER DATA'!$AG:$AH,2,FALSE),0),0)</f>
        <v>0</v>
      </c>
      <c r="AV35" s="94"/>
      <c r="AW35" s="94"/>
      <c r="AX35" s="98">
        <f>IFERROR(ROUNDUP(AX37/VLOOKUP(AX36,'MASTER DATA'!$AG:$AH,2,FALSE),0),0)</f>
        <v>0</v>
      </c>
      <c r="AY35" s="94"/>
      <c r="AZ35">
        <f>SUM(AC35:AY35)</f>
        <v>1</v>
      </c>
    </row>
    <row r="36" spans="1:52" x14ac:dyDescent="0.25">
      <c r="A36" s="71"/>
      <c r="B36" s="38"/>
      <c r="C36" s="211" t="s">
        <v>388</v>
      </c>
      <c r="D36" s="211" t="s">
        <v>389</v>
      </c>
      <c r="E36" s="212">
        <v>4.6002600000000005</v>
      </c>
      <c r="F36" s="212">
        <v>0.15265999999999999</v>
      </c>
      <c r="G36" s="211">
        <v>7</v>
      </c>
      <c r="H36" s="39">
        <f t="shared" si="12"/>
        <v>1.2385315384615385</v>
      </c>
      <c r="I36" s="39"/>
      <c r="J36" s="38">
        <v>0</v>
      </c>
      <c r="K36" s="38">
        <v>0</v>
      </c>
      <c r="L36" s="40">
        <f t="shared" si="18"/>
        <v>5.686131538461539</v>
      </c>
      <c r="M36" s="40">
        <f t="shared" si="14"/>
        <v>0.21869736686390534</v>
      </c>
      <c r="N36" s="41">
        <f>VLOOKUP(C36,'MASTER DATA'!B:D,3,0)</f>
        <v>1.2</v>
      </c>
      <c r="O36" s="77">
        <f t="shared" si="15"/>
        <v>182.2478057199211</v>
      </c>
      <c r="P36" s="42">
        <f t="shared" si="16"/>
        <v>1.2385315384615385</v>
      </c>
      <c r="Q36" s="77">
        <f t="shared" si="17"/>
        <v>6.9999999999999991</v>
      </c>
      <c r="R36" s="38"/>
      <c r="S36" s="38"/>
      <c r="AB36" s="113" t="s">
        <v>148</v>
      </c>
      <c r="AC36" s="95" t="s">
        <v>66</v>
      </c>
      <c r="AD36" s="94"/>
      <c r="AE36" s="94"/>
      <c r="AF36" s="95" t="s">
        <v>352</v>
      </c>
      <c r="AG36" s="94"/>
      <c r="AH36" s="94"/>
      <c r="AI36" s="95" t="s">
        <v>69</v>
      </c>
      <c r="AJ36" s="94"/>
      <c r="AK36" s="94"/>
      <c r="AL36" s="95" t="s">
        <v>348</v>
      </c>
      <c r="AM36" s="94"/>
      <c r="AN36" s="94"/>
      <c r="AO36" s="95" t="s">
        <v>62</v>
      </c>
      <c r="AP36" s="94"/>
      <c r="AQ36" s="94"/>
      <c r="AR36" s="95" t="s">
        <v>64</v>
      </c>
      <c r="AS36" s="94"/>
      <c r="AT36" s="94"/>
      <c r="AU36" s="95" t="s">
        <v>71</v>
      </c>
      <c r="AV36" s="94"/>
      <c r="AW36" s="94"/>
      <c r="AX36" s="95" t="s">
        <v>357</v>
      </c>
      <c r="AY36" s="94"/>
    </row>
    <row r="37" spans="1:52" x14ac:dyDescent="0.25">
      <c r="A37" s="71"/>
      <c r="B37" s="38"/>
      <c r="C37" s="211" t="s">
        <v>4</v>
      </c>
      <c r="D37" s="211" t="s">
        <v>5</v>
      </c>
      <c r="E37" s="212">
        <v>77.406340000000014</v>
      </c>
      <c r="F37" s="212">
        <v>7.6845100000000004</v>
      </c>
      <c r="G37" s="211">
        <v>7</v>
      </c>
      <c r="H37" s="39">
        <f t="shared" si="12"/>
        <v>20.840168461538468</v>
      </c>
      <c r="I37" s="39"/>
      <c r="J37" s="38">
        <v>0</v>
      </c>
      <c r="K37" s="38">
        <v>0</v>
      </c>
      <c r="L37" s="40">
        <f t="shared" si="18"/>
        <v>90.561998461538479</v>
      </c>
      <c r="M37" s="40">
        <f t="shared" si="14"/>
        <v>3.4831537869822493</v>
      </c>
      <c r="N37" s="41">
        <v>1.5</v>
      </c>
      <c r="O37" s="77">
        <f t="shared" si="15"/>
        <v>2322.1025246548329</v>
      </c>
      <c r="P37" s="42">
        <f t="shared" si="16"/>
        <v>20.840168461538468</v>
      </c>
      <c r="Q37" s="77">
        <f t="shared" si="17"/>
        <v>7.0000000000000009</v>
      </c>
      <c r="R37" s="38"/>
      <c r="S37" s="38"/>
      <c r="AB37" s="114" t="s">
        <v>154</v>
      </c>
      <c r="AC37" s="103">
        <f>IFERROR(AC39/AC38,0)</f>
        <v>0</v>
      </c>
      <c r="AD37" s="104"/>
      <c r="AE37" s="104"/>
      <c r="AF37" s="103">
        <f>IFERROR(AF39/AF38,0)</f>
        <v>0</v>
      </c>
      <c r="AG37" s="104"/>
      <c r="AH37" s="104"/>
      <c r="AI37" s="103">
        <f>IFERROR(AI39/AI38,0)</f>
        <v>0</v>
      </c>
      <c r="AJ37" s="104"/>
      <c r="AK37" s="104"/>
      <c r="AL37" s="103">
        <f>IFERROR(AL39/AL38,0)</f>
        <v>316.99070160608619</v>
      </c>
      <c r="AM37" s="104"/>
      <c r="AN37" s="104"/>
      <c r="AO37" s="103">
        <f>IFERROR(AO39/AO38,0)</f>
        <v>0</v>
      </c>
      <c r="AP37" s="104"/>
      <c r="AQ37" s="104"/>
      <c r="AR37" s="103">
        <f>IFERROR(AR39/AR38,0)</f>
        <v>0</v>
      </c>
      <c r="AS37" s="104"/>
      <c r="AT37" s="104"/>
      <c r="AU37" s="103">
        <f>IFERROR(AU39/AU38,0)</f>
        <v>0</v>
      </c>
      <c r="AV37" s="104"/>
      <c r="AW37" s="104"/>
      <c r="AX37" s="103">
        <f>IFERROR(AX39/AX38,0)</f>
        <v>0</v>
      </c>
      <c r="AY37" s="104"/>
    </row>
    <row r="38" spans="1:52" x14ac:dyDescent="0.25">
      <c r="A38" s="71"/>
      <c r="B38" s="38"/>
      <c r="C38" s="211" t="s">
        <v>390</v>
      </c>
      <c r="D38" s="211" t="s">
        <v>391</v>
      </c>
      <c r="E38" s="212">
        <v>1.0199400000000001</v>
      </c>
      <c r="F38" s="212">
        <v>0</v>
      </c>
      <c r="G38" s="211">
        <v>7</v>
      </c>
      <c r="H38" s="39">
        <f t="shared" si="12"/>
        <v>0.27459923076923076</v>
      </c>
      <c r="I38" s="39"/>
      <c r="J38" s="38">
        <v>0</v>
      </c>
      <c r="K38" s="38">
        <v>0</v>
      </c>
      <c r="L38" s="40">
        <f t="shared" si="18"/>
        <v>1.2945392307692307</v>
      </c>
      <c r="M38" s="40">
        <f t="shared" si="14"/>
        <v>4.9789970414201183E-2</v>
      </c>
      <c r="N38" s="41">
        <f>VLOOKUP(C38,'MASTER DATA'!B:D,3,0)</f>
        <v>0.9</v>
      </c>
      <c r="O38" s="77">
        <f t="shared" si="15"/>
        <v>55.322189349112428</v>
      </c>
      <c r="P38" s="42">
        <f t="shared" si="16"/>
        <v>0.27459923076923065</v>
      </c>
      <c r="Q38" s="77">
        <f t="shared" si="17"/>
        <v>6.9999999999999973</v>
      </c>
      <c r="R38" s="38"/>
      <c r="S38" s="38"/>
      <c r="AB38" s="115" t="s">
        <v>361</v>
      </c>
      <c r="AC38" s="96">
        <f>SUMIF('MASTER DATA'!$S:$S,'SETTING PRODUKSI Januari'!AC$36&amp;"&amp;1",'MASTER DATA'!$X:$X)</f>
        <v>0</v>
      </c>
      <c r="AD38" s="94"/>
      <c r="AE38" s="94"/>
      <c r="AF38" s="96">
        <f>SUMIF('MASTER DATA'!$S:$S,'SETTING PRODUKSI Januari'!AF$36&amp;"&amp;1",'MASTER DATA'!$X:$X)</f>
        <v>0</v>
      </c>
      <c r="AG38" s="94"/>
      <c r="AH38" s="94"/>
      <c r="AI38" s="96">
        <f>SUMIF('MASTER DATA'!$S:$S,'SETTING PRODUKSI Januari'!AI$36&amp;"&amp;1",'MASTER DATA'!$X:$X)</f>
        <v>0</v>
      </c>
      <c r="AJ38" s="94"/>
      <c r="AK38" s="94"/>
      <c r="AL38" s="96">
        <f>SUMIF('MASTER DATA'!$S:$S,'SETTING PRODUKSI Januari'!AL$36&amp;"&amp;1",'MASTER DATA'!$X:$X)</f>
        <v>0.34</v>
      </c>
      <c r="AM38" s="94"/>
      <c r="AN38" s="94"/>
      <c r="AO38" s="96">
        <f>SUMIF('MASTER DATA'!$S:$S,'SETTING PRODUKSI Januari'!AO$36&amp;"&amp;1",'MASTER DATA'!$X:$X)</f>
        <v>0</v>
      </c>
      <c r="AP38" s="94"/>
      <c r="AQ38" s="94"/>
      <c r="AR38" s="96">
        <f>SUMIF('MASTER DATA'!$S:$S,'SETTING PRODUKSI Januari'!AR$36&amp;"&amp;1",'MASTER DATA'!$X:$X)</f>
        <v>0</v>
      </c>
      <c r="AS38" s="94"/>
      <c r="AT38" s="94"/>
      <c r="AU38" s="96">
        <f>SUMIF('MASTER DATA'!$S:$S,'SETTING PRODUKSI Januari'!AU$36&amp;"&amp;1",'MASTER DATA'!$X:$X)</f>
        <v>0</v>
      </c>
      <c r="AV38" s="94"/>
      <c r="AW38" s="94"/>
      <c r="AX38" s="96">
        <f>SUMIF('MASTER DATA'!$S:$S,'SETTING PRODUKSI Januari'!AX$36&amp;"&amp;1",'MASTER DATA'!$X:$X)</f>
        <v>0</v>
      </c>
      <c r="AY38" s="94"/>
    </row>
    <row r="39" spans="1:52" x14ac:dyDescent="0.25">
      <c r="A39" s="71"/>
      <c r="B39" s="38"/>
      <c r="C39" s="211" t="s">
        <v>210</v>
      </c>
      <c r="D39" s="211" t="s">
        <v>211</v>
      </c>
      <c r="E39" s="212">
        <v>10.130000000000001</v>
      </c>
      <c r="F39" s="212">
        <v>9.5254399999999997</v>
      </c>
      <c r="G39" s="211">
        <v>14</v>
      </c>
      <c r="H39" s="39">
        <f t="shared" si="12"/>
        <v>5.4546153846153853</v>
      </c>
      <c r="I39" s="39"/>
      <c r="J39" s="38">
        <v>0</v>
      </c>
      <c r="K39" s="38">
        <v>25</v>
      </c>
      <c r="L39" s="40">
        <f t="shared" si="18"/>
        <v>31.059175384615386</v>
      </c>
      <c r="M39" s="40">
        <f t="shared" si="14"/>
        <v>1.1945836686390534</v>
      </c>
      <c r="N39" s="41">
        <f>VLOOKUP(C39,'MASTER DATA'!B:D,3,0)</f>
        <v>1</v>
      </c>
      <c r="O39" s="77">
        <f t="shared" si="15"/>
        <v>1194.5836686390535</v>
      </c>
      <c r="P39" s="42">
        <f t="shared" si="16"/>
        <v>5.4546153846153889</v>
      </c>
      <c r="Q39" s="77">
        <f t="shared" si="17"/>
        <v>14.000000000000011</v>
      </c>
      <c r="R39" s="38"/>
      <c r="S39" s="38"/>
      <c r="W39" s="240" t="s">
        <v>153</v>
      </c>
      <c r="X39" s="240"/>
      <c r="Y39" s="240"/>
      <c r="Z39" s="240"/>
      <c r="AA39" s="241"/>
      <c r="AB39" s="116" t="s">
        <v>146</v>
      </c>
      <c r="AC39" s="97">
        <f>IFERROR(SUMIF(AB41:AB58,1,AA41:AA58)/3,0)</f>
        <v>0</v>
      </c>
      <c r="AD39" s="97"/>
      <c r="AE39" s="97"/>
      <c r="AF39" s="97">
        <f>SUMIF(AE41:AE58,1,AD41:AD58)*-1</f>
        <v>0</v>
      </c>
      <c r="AG39" s="97"/>
      <c r="AH39" s="97"/>
      <c r="AI39" s="97">
        <f>SUMIF(AH41:AH58,1,AG41:AG58)*-1</f>
        <v>0</v>
      </c>
      <c r="AJ39" s="97"/>
      <c r="AK39" s="97"/>
      <c r="AL39" s="97">
        <f>SUMIF(AK41:AK58,1,AJ41:AJ58)*-1</f>
        <v>107.77683854606931</v>
      </c>
      <c r="AM39" s="97"/>
      <c r="AN39" s="97"/>
      <c r="AO39" s="97">
        <f>SUMIF(AN41:AN58,1,AM41:AM58)*-1</f>
        <v>0</v>
      </c>
      <c r="AP39" s="97"/>
      <c r="AQ39" s="97"/>
      <c r="AR39" s="97">
        <f>SUMIF(AQ41:AQ58,1,AP41:AP58)*-1</f>
        <v>0</v>
      </c>
      <c r="AS39" s="97"/>
      <c r="AT39" s="97"/>
      <c r="AU39" s="97">
        <f>SUMIF(AT41:AT58,1,AS41:AS58)*-1</f>
        <v>0</v>
      </c>
      <c r="AV39" s="97"/>
      <c r="AW39" s="97"/>
      <c r="AX39" s="97">
        <f>SUMIF(AW41:AW59,1,AD41:AD59)*-1</f>
        <v>0</v>
      </c>
      <c r="AY39" s="94"/>
    </row>
    <row r="40" spans="1:52" x14ac:dyDescent="0.25">
      <c r="A40" s="71"/>
      <c r="B40" s="38"/>
      <c r="C40" s="211" t="s">
        <v>170</v>
      </c>
      <c r="D40" s="211" t="s">
        <v>171</v>
      </c>
      <c r="E40" s="212">
        <v>13.5</v>
      </c>
      <c r="F40" s="212">
        <v>0</v>
      </c>
      <c r="G40" s="211">
        <v>7</v>
      </c>
      <c r="H40" s="39">
        <f t="shared" si="12"/>
        <v>3.634615384615385</v>
      </c>
      <c r="I40" s="39"/>
      <c r="J40" s="38">
        <v>0</v>
      </c>
      <c r="K40" s="38">
        <v>0</v>
      </c>
      <c r="L40" s="40">
        <f t="shared" si="18"/>
        <v>17.134615384615387</v>
      </c>
      <c r="M40" s="40">
        <f t="shared" si="14"/>
        <v>0.65902366863905337</v>
      </c>
      <c r="N40" s="41">
        <f>VLOOKUP(C40,'MASTER DATA'!B:D,3,0)</f>
        <v>1.2</v>
      </c>
      <c r="O40" s="77">
        <f t="shared" si="15"/>
        <v>549.18639053254458</v>
      </c>
      <c r="P40" s="42">
        <f t="shared" si="16"/>
        <v>3.6346153846153868</v>
      </c>
      <c r="Q40" s="77">
        <f t="shared" si="17"/>
        <v>7.0000000000000036</v>
      </c>
      <c r="R40" s="38"/>
      <c r="S40" s="38"/>
      <c r="U40" s="23"/>
      <c r="V40" s="15" t="s">
        <v>57</v>
      </c>
      <c r="W40" s="15" t="s">
        <v>355</v>
      </c>
      <c r="X40" s="15" t="s">
        <v>356</v>
      </c>
      <c r="Y40" s="15" t="s">
        <v>130</v>
      </c>
      <c r="Z40" s="15" t="s">
        <v>121</v>
      </c>
      <c r="AA40" s="88" t="s">
        <v>156</v>
      </c>
      <c r="AB40" s="15" t="s">
        <v>144</v>
      </c>
      <c r="AC40" s="15" t="s">
        <v>157</v>
      </c>
      <c r="AD40" s="15" t="s">
        <v>123</v>
      </c>
      <c r="AE40" s="15" t="s">
        <v>144</v>
      </c>
      <c r="AF40" s="15" t="s">
        <v>157</v>
      </c>
      <c r="AG40" s="15" t="s">
        <v>123</v>
      </c>
      <c r="AH40" s="15" t="s">
        <v>144</v>
      </c>
      <c r="AI40" s="15" t="s">
        <v>157</v>
      </c>
      <c r="AJ40" s="15" t="s">
        <v>123</v>
      </c>
      <c r="AK40" s="15" t="s">
        <v>144</v>
      </c>
      <c r="AL40" s="15" t="s">
        <v>158</v>
      </c>
      <c r="AM40" s="15" t="s">
        <v>123</v>
      </c>
      <c r="AN40" s="15" t="s">
        <v>144</v>
      </c>
      <c r="AO40" s="15" t="s">
        <v>158</v>
      </c>
      <c r="AP40" s="15" t="s">
        <v>123</v>
      </c>
      <c r="AQ40" s="15" t="s">
        <v>144</v>
      </c>
      <c r="AR40" s="15" t="s">
        <v>158</v>
      </c>
      <c r="AS40" s="15" t="s">
        <v>123</v>
      </c>
      <c r="AT40" s="15" t="s">
        <v>144</v>
      </c>
      <c r="AU40" s="15" t="s">
        <v>159</v>
      </c>
      <c r="AV40" s="15" t="s">
        <v>123</v>
      </c>
      <c r="AW40" s="15" t="s">
        <v>145</v>
      </c>
      <c r="AX40" s="15" t="s">
        <v>159</v>
      </c>
      <c r="AY40" s="15" t="s">
        <v>123</v>
      </c>
    </row>
    <row r="41" spans="1:52" x14ac:dyDescent="0.25">
      <c r="A41" s="71"/>
      <c r="B41" s="38"/>
      <c r="C41" s="211" t="s">
        <v>392</v>
      </c>
      <c r="D41" s="211" t="s">
        <v>393</v>
      </c>
      <c r="E41" s="212">
        <v>2.92</v>
      </c>
      <c r="F41" s="212">
        <v>5.7500000000000002E-2</v>
      </c>
      <c r="G41" s="211">
        <v>7</v>
      </c>
      <c r="H41" s="39">
        <f t="shared" si="12"/>
        <v>0.78615384615384609</v>
      </c>
      <c r="I41" s="39"/>
      <c r="J41" s="38">
        <v>0</v>
      </c>
      <c r="K41" s="38">
        <v>0</v>
      </c>
      <c r="L41" s="40">
        <f t="shared" si="18"/>
        <v>3.648653846153846</v>
      </c>
      <c r="M41" s="40">
        <f t="shared" si="14"/>
        <v>0.14033284023668638</v>
      </c>
      <c r="N41" s="41">
        <f>VLOOKUP(C41,'MASTER DATA'!B:D,3,0)</f>
        <v>1.2</v>
      </c>
      <c r="O41" s="77">
        <f t="shared" si="15"/>
        <v>116.94403353057197</v>
      </c>
      <c r="P41" s="42">
        <f t="shared" si="16"/>
        <v>0.7861538461538462</v>
      </c>
      <c r="Q41" s="77">
        <f t="shared" si="17"/>
        <v>7.0000000000000009</v>
      </c>
      <c r="R41" s="38"/>
      <c r="S41" s="38"/>
      <c r="U41" s="34">
        <v>0.3</v>
      </c>
      <c r="V41" s="18" t="s">
        <v>63</v>
      </c>
      <c r="W41" s="203"/>
      <c r="X41" s="203">
        <f>SUMIF($N$84:$N$125,U41,$O$84:$O$125)</f>
        <v>0</v>
      </c>
      <c r="Y41" s="203"/>
      <c r="Z41" s="203"/>
      <c r="AA41" s="203">
        <f>SUM(W41:Z41)</f>
        <v>0</v>
      </c>
      <c r="AB41" s="38"/>
      <c r="AC41" s="60">
        <f>IF(AC$34="",IFERROR(VLOOKUP((AC$36&amp;"&amp;"&amp;$V41),'MASTER DATA'!$R:$X,7,FALSE)*AC$35*(VLOOKUP(AC$36,'MASTER DATA'!$AG:$AH,2,FALSE)),0),IFERROR(VLOOKUP((AC$36&amp;"&amp;"&amp;$V41),'MASTER DATA'!$R:$X,7,FALSE)*AC$34*(VLOOKUP(AC$36,'MASTER DATA'!$AG:$AH,2,FALSE)),0))</f>
        <v>0</v>
      </c>
      <c r="AD41" s="60">
        <f t="shared" ref="AD41:AD58" si="20">AC41-AA41</f>
        <v>0</v>
      </c>
      <c r="AE41" s="38"/>
      <c r="AF41" s="60">
        <f>IF(AF$34="",IFERROR(VLOOKUP((AF$36&amp;"&amp;"&amp;$V41),'MASTER DATA'!$R:$X,7,FALSE)*AF$35*(VLOOKUP(AF$36,'MASTER DATA'!$AG:$AH,2,FALSE)),0),IFERROR(VLOOKUP((AF$36&amp;"&amp;"&amp;$V41),'MASTER DATA'!$R:$X,7,FALSE)*AF$34*(VLOOKUP(AF$36,'MASTER DATA'!$AG:$AH,2,FALSE)),0))</f>
        <v>0</v>
      </c>
      <c r="AG41" s="60">
        <f>AF41+AD41</f>
        <v>0</v>
      </c>
      <c r="AH41" s="38"/>
      <c r="AI41" s="60">
        <f>IF(AI$34="",IFERROR(VLOOKUP((AI$36&amp;"&amp;"&amp;$V41),'MASTER DATA'!$R:$X,7,FALSE)*AI$35*(VLOOKUP(AI$36,'MASTER DATA'!$AG:$AH,2,FALSE)),0),IFERROR(VLOOKUP((AI$36&amp;"&amp;"&amp;$V41),'MASTER DATA'!$R:$X,7,FALSE)*AI$34*(VLOOKUP(AI$36,'MASTER DATA'!$AG:$AH,2,FALSE)),0))</f>
        <v>0</v>
      </c>
      <c r="AJ41" s="60">
        <f>AI41+AG41</f>
        <v>0</v>
      </c>
      <c r="AK41" s="38"/>
      <c r="AL41" s="60">
        <f>IF(AL$34="",IFERROR(VLOOKUP((AL$36&amp;"&amp;"&amp;$V41),'MASTER DATA'!$R:$X,7,FALSE)*AL$35*(VLOOKUP(AL$36,'MASTER DATA'!$AG:$AH,2,FALSE)),0),IFERROR(VLOOKUP((AL$36&amp;"&amp;"&amp;$V41),'MASTER DATA'!$R:$X,7,FALSE)*AL$34*(VLOOKUP(AL$36,'MASTER DATA'!$AG:$AH,2,FALSE)),0))</f>
        <v>0</v>
      </c>
      <c r="AM41" s="60">
        <f>AL41+AJ41</f>
        <v>0</v>
      </c>
      <c r="AN41" s="38"/>
      <c r="AO41" s="60">
        <f>IF(AO$34="",IFERROR(VLOOKUP((AO$36&amp;"&amp;"&amp;$V41),'MASTER DATA'!$R:$X,7,FALSE)*AO$35*(VLOOKUP(AO$36,'MASTER DATA'!$AG:$AH,2,FALSE)),0),IFERROR(VLOOKUP((AO$36&amp;"&amp;"&amp;$V41),'MASTER DATA'!$R:$X,7,FALSE)*AO$34*(VLOOKUP(AO$36,'MASTER DATA'!$AG:$AH,2,FALSE)),0))</f>
        <v>0</v>
      </c>
      <c r="AP41" s="60">
        <f>AO41+AM41</f>
        <v>0</v>
      </c>
      <c r="AQ41" s="38"/>
      <c r="AR41" s="60">
        <f>IF(AR$34="",IFERROR(VLOOKUP((AR$36&amp;"&amp;"&amp;$V41),'MASTER DATA'!$R:$X,7,FALSE)*AR$35*(VLOOKUP(AR$36,'MASTER DATA'!$AG:$AH,2,FALSE)),0),IFERROR(VLOOKUP((AR$36&amp;"&amp;"&amp;$V41),'MASTER DATA'!$R:$X,7,FALSE)*AR$34*(VLOOKUP(AR$36,'MASTER DATA'!$AG:$AH,2,FALSE)),0))</f>
        <v>0</v>
      </c>
      <c r="AS41" s="60">
        <f>AR41+AP41</f>
        <v>0</v>
      </c>
      <c r="AT41" s="38"/>
      <c r="AU41" s="60">
        <f>IF(AU$34="",IFERROR(VLOOKUP((AU$36&amp;"&amp;"&amp;$V41),'MASTER DATA'!$R:$X,7,FALSE)*AU$35*(VLOOKUP(AU$36,'MASTER DATA'!$AG:$AH,2,FALSE)),0),IFERROR(VLOOKUP((AU$36&amp;"&amp;"&amp;$V41),'MASTER DATA'!$R:$X,7,FALSE)*AU$34*(VLOOKUP(AU$36,'MASTER DATA'!$AG:$AH,2,FALSE)),0))</f>
        <v>0</v>
      </c>
      <c r="AV41" s="60">
        <f>AU41+AS41</f>
        <v>0</v>
      </c>
      <c r="AW41" s="60"/>
      <c r="AX41" s="60">
        <f>IF(AX$34="",IFERROR(VLOOKUP((AX$36&amp;"&amp;"&amp;$V41),'MASTER DATA'!$R:$X,7,FALSE)*AX$35*(VLOOKUP(AX$36,'MASTER DATA'!$AG:$AH,2,FALSE)),0),IFERROR(VLOOKUP((AX$36&amp;"&amp;"&amp;$V41),'MASTER DATA'!$R:$X,7,FALSE)*AX$34*(VLOOKUP(AX$36,'MASTER DATA'!$AG:$AH,2,FALSE)),0))</f>
        <v>0</v>
      </c>
      <c r="AY41" s="60">
        <f>AX41+AV41</f>
        <v>0</v>
      </c>
    </row>
    <row r="42" spans="1:52" x14ac:dyDescent="0.25">
      <c r="A42" s="71"/>
      <c r="B42" s="38"/>
      <c r="C42" s="211" t="s">
        <v>394</v>
      </c>
      <c r="D42" s="211" t="s">
        <v>395</v>
      </c>
      <c r="E42" s="212">
        <v>0.9</v>
      </c>
      <c r="F42" s="212">
        <v>0</v>
      </c>
      <c r="G42" s="211">
        <v>7</v>
      </c>
      <c r="H42" s="39">
        <f t="shared" si="12"/>
        <v>0.24230769230769234</v>
      </c>
      <c r="I42" s="39"/>
      <c r="J42" s="38">
        <v>0</v>
      </c>
      <c r="K42" s="38">
        <v>0</v>
      </c>
      <c r="L42" s="40">
        <f t="shared" si="18"/>
        <v>1.1423076923076922</v>
      </c>
      <c r="M42" s="40">
        <f t="shared" si="14"/>
        <v>4.3934911242603548E-2</v>
      </c>
      <c r="N42" s="41">
        <f>VLOOKUP(C42,'MASTER DATA'!B:D,3,0)</f>
        <v>1.1000000000000001</v>
      </c>
      <c r="O42" s="77">
        <f t="shared" si="15"/>
        <v>39.940828402366861</v>
      </c>
      <c r="P42" s="42">
        <f t="shared" si="16"/>
        <v>0.24230769230769222</v>
      </c>
      <c r="Q42" s="77">
        <f t="shared" si="17"/>
        <v>6.9999999999999973</v>
      </c>
      <c r="R42" s="38"/>
      <c r="S42" s="38"/>
      <c r="U42" s="27">
        <v>0.4</v>
      </c>
      <c r="V42" s="25" t="s">
        <v>65</v>
      </c>
      <c r="W42" s="36"/>
      <c r="X42" s="36">
        <f t="shared" ref="X42:X58" si="21">SUMIF($N$84:$N$106,U42,$O$84:$O$106)</f>
        <v>0</v>
      </c>
      <c r="Y42" s="36"/>
      <c r="Z42" s="36"/>
      <c r="AA42" s="36">
        <f t="shared" ref="AA42:AA58" si="22">SUM(W42:Z42)</f>
        <v>0</v>
      </c>
      <c r="AB42" s="38"/>
      <c r="AC42" s="60">
        <f>IF(AC$34="",IFERROR(VLOOKUP((AC$36&amp;"&amp;"&amp;$V42),'MASTER DATA'!$R:$X,7,FALSE)*AC$35*(VLOOKUP(AC$36,'MASTER DATA'!$AG:$AH,2,FALSE)),0),IFERROR(VLOOKUP((AC$36&amp;"&amp;"&amp;$V42),'MASTER DATA'!$R:$X,7,FALSE)*AC$34*(VLOOKUP(AC$36,'MASTER DATA'!$AG:$AH,2,FALSE)),0))</f>
        <v>0</v>
      </c>
      <c r="AD42" s="60">
        <f t="shared" si="20"/>
        <v>0</v>
      </c>
      <c r="AE42" s="38"/>
      <c r="AF42" s="60">
        <f>IF(AF$34="",IFERROR(VLOOKUP((AF$36&amp;"&amp;"&amp;$V42),'MASTER DATA'!$R:$X,7,FALSE)*AF$35*(VLOOKUP(AF$36,'MASTER DATA'!$AG:$AH,2,FALSE)),0),IFERROR(VLOOKUP((AF$36&amp;"&amp;"&amp;$V42),'MASTER DATA'!$R:$X,7,FALSE)*AF$34*(VLOOKUP(AF$36,'MASTER DATA'!$AG:$AH,2,FALSE)),0))</f>
        <v>0</v>
      </c>
      <c r="AG42" s="60">
        <f t="shared" ref="AG42:AG58" si="23">AF42+AD42</f>
        <v>0</v>
      </c>
      <c r="AH42" s="38"/>
      <c r="AI42" s="60">
        <f>IF(AI$34="",IFERROR(VLOOKUP((AI$36&amp;"&amp;"&amp;$V42),'MASTER DATA'!$R:$X,7,FALSE)*AI$35*(VLOOKUP(AI$36,'MASTER DATA'!$AG:$AH,2,FALSE)),0),IFERROR(VLOOKUP((AI$36&amp;"&amp;"&amp;$V42),'MASTER DATA'!$R:$X,7,FALSE)*AI$34*(VLOOKUP(AI$36,'MASTER DATA'!$AG:$AH,2,FALSE)),0))</f>
        <v>0</v>
      </c>
      <c r="AJ42" s="60">
        <f t="shared" ref="AJ42:AJ58" si="24">AI42+AG42</f>
        <v>0</v>
      </c>
      <c r="AK42" s="38"/>
      <c r="AL42" s="60">
        <f>IF(AL$34="",IFERROR(VLOOKUP((AL$36&amp;"&amp;"&amp;$V42),'MASTER DATA'!$R:$X,7,FALSE)*AL$35*(VLOOKUP(AL$36,'MASTER DATA'!$AG:$AH,2,FALSE)),0),IFERROR(VLOOKUP((AL$36&amp;"&amp;"&amp;$V42),'MASTER DATA'!$R:$X,7,FALSE)*AL$34*(VLOOKUP(AL$36,'MASTER DATA'!$AG:$AH,2,FALSE)),0))</f>
        <v>51.2</v>
      </c>
      <c r="AM42" s="60">
        <f t="shared" ref="AM42:AM58" si="25">AL42+AJ42</f>
        <v>51.2</v>
      </c>
      <c r="AN42" s="38"/>
      <c r="AO42" s="60">
        <f>IF(AO$34="",IFERROR(VLOOKUP((AO$36&amp;"&amp;"&amp;$V42),'MASTER DATA'!$R:$X,7,FALSE)*AO$35*(VLOOKUP(AO$36,'MASTER DATA'!$AG:$AH,2,FALSE)),0),IFERROR(VLOOKUP((AO$36&amp;"&amp;"&amp;$V42),'MASTER DATA'!$R:$X,7,FALSE)*AO$34*(VLOOKUP(AO$36,'MASTER DATA'!$AG:$AH,2,FALSE)),0))</f>
        <v>0</v>
      </c>
      <c r="AP42" s="60">
        <f t="shared" ref="AP42:AP58" si="26">AO42+AM42</f>
        <v>51.2</v>
      </c>
      <c r="AQ42" s="38"/>
      <c r="AR42" s="60">
        <f>IF(AR$34="",IFERROR(VLOOKUP((AR$36&amp;"&amp;"&amp;$V42),'MASTER DATA'!$R:$X,7,FALSE)*AR$35*(VLOOKUP(AR$36,'MASTER DATA'!$AG:$AH,2,FALSE)),0),IFERROR(VLOOKUP((AR$36&amp;"&amp;"&amp;$V42),'MASTER DATA'!$R:$X,7,FALSE)*AR$34*(VLOOKUP(AR$36,'MASTER DATA'!$AG:$AH,2,FALSE)),0))</f>
        <v>0</v>
      </c>
      <c r="AS42" s="60">
        <f t="shared" ref="AS42:AS58" si="27">AR42+AP42</f>
        <v>51.2</v>
      </c>
      <c r="AT42" s="38"/>
      <c r="AU42" s="60">
        <f>IF(AU$34="",IFERROR(VLOOKUP((AU$36&amp;"&amp;"&amp;$V42),'MASTER DATA'!$R:$X,7,FALSE)*AU$35*(VLOOKUP(AU$36,'MASTER DATA'!$AG:$AH,2,FALSE)),0),IFERROR(VLOOKUP((AU$36&amp;"&amp;"&amp;$V42),'MASTER DATA'!$R:$X,7,FALSE)*AU$34*(VLOOKUP(AU$36,'MASTER DATA'!$AG:$AH,2,FALSE)),0))</f>
        <v>0</v>
      </c>
      <c r="AV42" s="60">
        <f t="shared" ref="AV42:AV58" si="28">AU42+AS42</f>
        <v>51.2</v>
      </c>
      <c r="AW42" s="60"/>
      <c r="AX42" s="60">
        <f>IF(AX$34="",IFERROR(VLOOKUP((AX$36&amp;"&amp;"&amp;$V42),'MASTER DATA'!$R:$X,7,FALSE)*AX$35*(VLOOKUP(AX$36,'MASTER DATA'!$AG:$AH,2,FALSE)),0),IFERROR(VLOOKUP((AX$36&amp;"&amp;"&amp;$V42),'MASTER DATA'!$R:$X,7,FALSE)*AX$34*(VLOOKUP(AX$36,'MASTER DATA'!$AG:$AH,2,FALSE)),0))</f>
        <v>0</v>
      </c>
      <c r="AY42" s="60">
        <f t="shared" ref="AY42:AY58" si="29">AX42+AV42</f>
        <v>51.2</v>
      </c>
    </row>
    <row r="43" spans="1:52" x14ac:dyDescent="0.25">
      <c r="A43" s="71"/>
      <c r="B43" s="38"/>
      <c r="C43" s="211" t="s">
        <v>22</v>
      </c>
      <c r="D43" s="211" t="s">
        <v>23</v>
      </c>
      <c r="E43" s="212">
        <v>0.87</v>
      </c>
      <c r="F43" s="212">
        <v>2.8E-3</v>
      </c>
      <c r="G43" s="211">
        <v>7</v>
      </c>
      <c r="H43" s="39">
        <f t="shared" si="12"/>
        <v>0.23423076923076921</v>
      </c>
      <c r="I43" s="39"/>
      <c r="J43" s="38">
        <v>0</v>
      </c>
      <c r="K43" s="38">
        <v>0</v>
      </c>
      <c r="L43" s="40">
        <f t="shared" si="18"/>
        <v>1.1014307692307692</v>
      </c>
      <c r="M43" s="40">
        <f t="shared" si="14"/>
        <v>4.236272189349112E-2</v>
      </c>
      <c r="N43" s="41">
        <f>VLOOKUP(C43,'MASTER DATA'!B:D,3,0)</f>
        <v>1.1000000000000001</v>
      </c>
      <c r="O43" s="77">
        <f t="shared" si="15"/>
        <v>38.511565357719199</v>
      </c>
      <c r="P43" s="42">
        <f t="shared" si="16"/>
        <v>0.23423076923076913</v>
      </c>
      <c r="Q43" s="77">
        <f t="shared" si="17"/>
        <v>6.9999999999999973</v>
      </c>
      <c r="R43" s="38"/>
      <c r="S43" s="38"/>
      <c r="U43" s="27">
        <v>0.5</v>
      </c>
      <c r="V43" s="26" t="s">
        <v>67</v>
      </c>
      <c r="W43" s="36"/>
      <c r="X43" s="36">
        <f t="shared" si="21"/>
        <v>22.189349112426033</v>
      </c>
      <c r="Y43" s="36"/>
      <c r="Z43" s="36"/>
      <c r="AA43" s="36">
        <f t="shared" si="22"/>
        <v>22.189349112426033</v>
      </c>
      <c r="AB43" s="38"/>
      <c r="AC43" s="60">
        <f>IF(AC$34="",IFERROR(VLOOKUP((AC$36&amp;"&amp;"&amp;$V43),'MASTER DATA'!$R:$X,7,FALSE)*AC$35*(VLOOKUP(AC$36,'MASTER DATA'!$AG:$AH,2,FALSE)),0),IFERROR(VLOOKUP((AC$36&amp;"&amp;"&amp;$V43),'MASTER DATA'!$R:$X,7,FALSE)*AC$34*(VLOOKUP(AC$36,'MASTER DATA'!$AG:$AH,2,FALSE)),0))</f>
        <v>0</v>
      </c>
      <c r="AD43" s="60">
        <f t="shared" si="20"/>
        <v>-22.189349112426033</v>
      </c>
      <c r="AE43" s="38"/>
      <c r="AF43" s="60">
        <f>IF(AF$34="",IFERROR(VLOOKUP((AF$36&amp;"&amp;"&amp;$V43),'MASTER DATA'!$R:$X,7,FALSE)*AF$35*(VLOOKUP(AF$36,'MASTER DATA'!$AG:$AH,2,FALSE)),0),IFERROR(VLOOKUP((AF$36&amp;"&amp;"&amp;$V43),'MASTER DATA'!$R:$X,7,FALSE)*AF$34*(VLOOKUP(AF$36,'MASTER DATA'!$AG:$AH,2,FALSE)),0))</f>
        <v>0</v>
      </c>
      <c r="AG43" s="60">
        <f t="shared" si="23"/>
        <v>-22.189349112426033</v>
      </c>
      <c r="AH43" s="38"/>
      <c r="AI43" s="60">
        <f>IF(AI$34="",IFERROR(VLOOKUP((AI$36&amp;"&amp;"&amp;$V43),'MASTER DATA'!$R:$X,7,FALSE)*AI$35*(VLOOKUP(AI$36,'MASTER DATA'!$AG:$AH,2,FALSE)),0),IFERROR(VLOOKUP((AI$36&amp;"&amp;"&amp;$V43),'MASTER DATA'!$R:$X,7,FALSE)*AI$34*(VLOOKUP(AI$36,'MASTER DATA'!$AG:$AH,2,FALSE)),0))</f>
        <v>0</v>
      </c>
      <c r="AJ43" s="60">
        <f t="shared" si="24"/>
        <v>-22.189349112426033</v>
      </c>
      <c r="AK43" s="38"/>
      <c r="AL43" s="60">
        <f>IF(AL$34="",IFERROR(VLOOKUP((AL$36&amp;"&amp;"&amp;$V43),'MASTER DATA'!$R:$X,7,FALSE)*AL$35*(VLOOKUP(AL$36,'MASTER DATA'!$AG:$AH,2,FALSE)),0),IFERROR(VLOOKUP((AL$36&amp;"&amp;"&amp;$V43),'MASTER DATA'!$R:$X,7,FALSE)*AL$34*(VLOOKUP(AL$36,'MASTER DATA'!$AG:$AH,2,FALSE)),0))</f>
        <v>153.6</v>
      </c>
      <c r="AM43" s="60">
        <f t="shared" si="25"/>
        <v>131.41065088757395</v>
      </c>
      <c r="AN43" s="38"/>
      <c r="AO43" s="60">
        <f>IF(AO$34="",IFERROR(VLOOKUP((AO$36&amp;"&amp;"&amp;$V43),'MASTER DATA'!$R:$X,7,FALSE)*AO$35*(VLOOKUP(AO$36,'MASTER DATA'!$AG:$AH,2,FALSE)),0),IFERROR(VLOOKUP((AO$36&amp;"&amp;"&amp;$V43),'MASTER DATA'!$R:$X,7,FALSE)*AO$34*(VLOOKUP(AO$36,'MASTER DATA'!$AG:$AH,2,FALSE)),0))</f>
        <v>0</v>
      </c>
      <c r="AP43" s="60">
        <f t="shared" si="26"/>
        <v>131.41065088757395</v>
      </c>
      <c r="AQ43" s="38"/>
      <c r="AR43" s="60">
        <f>IF(AR$34="",IFERROR(VLOOKUP((AR$36&amp;"&amp;"&amp;$V43),'MASTER DATA'!$R:$X,7,FALSE)*AR$35*(VLOOKUP(AR$36,'MASTER DATA'!$AG:$AH,2,FALSE)),0),IFERROR(VLOOKUP((AR$36&amp;"&amp;"&amp;$V43),'MASTER DATA'!$R:$X,7,FALSE)*AR$34*(VLOOKUP(AR$36,'MASTER DATA'!$AG:$AH,2,FALSE)),0))</f>
        <v>0</v>
      </c>
      <c r="AS43" s="60">
        <f t="shared" si="27"/>
        <v>131.41065088757395</v>
      </c>
      <c r="AT43" s="38"/>
      <c r="AU43" s="60">
        <f>IF(AU$34="",IFERROR(VLOOKUP((AU$36&amp;"&amp;"&amp;$V43),'MASTER DATA'!$R:$X,7,FALSE)*AU$35*(VLOOKUP(AU$36,'MASTER DATA'!$AG:$AH,2,FALSE)),0),IFERROR(VLOOKUP((AU$36&amp;"&amp;"&amp;$V43),'MASTER DATA'!$R:$X,7,FALSE)*AU$34*(VLOOKUP(AU$36,'MASTER DATA'!$AG:$AH,2,FALSE)),0))</f>
        <v>0</v>
      </c>
      <c r="AV43" s="60">
        <f t="shared" si="28"/>
        <v>131.41065088757395</v>
      </c>
      <c r="AW43" s="60"/>
      <c r="AX43" s="60">
        <f>IF(AX$34="",IFERROR(VLOOKUP((AX$36&amp;"&amp;"&amp;$V43),'MASTER DATA'!$R:$X,7,FALSE)*AX$35*(VLOOKUP(AX$36,'MASTER DATA'!$AG:$AH,2,FALSE)),0),IFERROR(VLOOKUP((AX$36&amp;"&amp;"&amp;$V43),'MASTER DATA'!$R:$X,7,FALSE)*AX$34*(VLOOKUP(AX$36,'MASTER DATA'!$AG:$AH,2,FALSE)),0))</f>
        <v>0</v>
      </c>
      <c r="AY43" s="60">
        <f t="shared" si="29"/>
        <v>131.41065088757395</v>
      </c>
    </row>
    <row r="44" spans="1:52" x14ac:dyDescent="0.25">
      <c r="A44" s="71"/>
      <c r="B44" s="38"/>
      <c r="C44" s="211" t="s">
        <v>12</v>
      </c>
      <c r="D44" s="211" t="s">
        <v>13</v>
      </c>
      <c r="E44" s="212">
        <v>15.263579999999997</v>
      </c>
      <c r="F44" s="212">
        <v>0.51403999999999994</v>
      </c>
      <c r="G44" s="211">
        <v>7</v>
      </c>
      <c r="H44" s="39">
        <f t="shared" si="12"/>
        <v>4.1094253846153839</v>
      </c>
      <c r="I44" s="39"/>
      <c r="J44" s="38">
        <v>0</v>
      </c>
      <c r="K44" s="38">
        <v>11</v>
      </c>
      <c r="L44" s="40">
        <f t="shared" si="18"/>
        <v>29.858965384615381</v>
      </c>
      <c r="M44" s="40">
        <f t="shared" si="14"/>
        <v>1.1484217455621299</v>
      </c>
      <c r="N44" s="41">
        <f>VLOOKUP(C44,'MASTER DATA'!B:D,3,0)</f>
        <v>1.1000000000000001</v>
      </c>
      <c r="O44" s="77">
        <f t="shared" si="15"/>
        <v>1044.0197686928452</v>
      </c>
      <c r="P44" s="42">
        <f t="shared" si="16"/>
        <v>4.1094253846153848</v>
      </c>
      <c r="Q44" s="77">
        <f t="shared" si="17"/>
        <v>7.0000000000000018</v>
      </c>
      <c r="R44" s="38"/>
      <c r="S44" s="38"/>
      <c r="U44" s="27">
        <v>0.6</v>
      </c>
      <c r="V44" s="25" t="s">
        <v>68</v>
      </c>
      <c r="W44" s="36"/>
      <c r="X44" s="36">
        <f t="shared" si="21"/>
        <v>51.757199211045368</v>
      </c>
      <c r="Y44" s="36"/>
      <c r="Z44" s="36"/>
      <c r="AA44" s="36">
        <f t="shared" si="22"/>
        <v>51.757199211045368</v>
      </c>
      <c r="AB44" s="38"/>
      <c r="AC44" s="60">
        <f>IF(AC$34="",IFERROR(VLOOKUP((AC$36&amp;"&amp;"&amp;$V44),'MASTER DATA'!$R:$X,7,FALSE)*AC$35*(VLOOKUP(AC$36,'MASTER DATA'!$AG:$AH,2,FALSE)),0),IFERROR(VLOOKUP((AC$36&amp;"&amp;"&amp;$V44),'MASTER DATA'!$R:$X,7,FALSE)*AC$34*(VLOOKUP(AC$36,'MASTER DATA'!$AG:$AH,2,FALSE)),0))</f>
        <v>0</v>
      </c>
      <c r="AD44" s="60">
        <f t="shared" si="20"/>
        <v>-51.757199211045368</v>
      </c>
      <c r="AE44" s="38"/>
      <c r="AF44" s="60">
        <f>IF(AF$34="",IFERROR(VLOOKUP((AF$36&amp;"&amp;"&amp;$V44),'MASTER DATA'!$R:$X,7,FALSE)*AF$35*(VLOOKUP(AF$36,'MASTER DATA'!$AG:$AH,2,FALSE)),0),IFERROR(VLOOKUP((AF$36&amp;"&amp;"&amp;$V44),'MASTER DATA'!$R:$X,7,FALSE)*AF$34*(VLOOKUP(AF$36,'MASTER DATA'!$AG:$AH,2,FALSE)),0))</f>
        <v>0</v>
      </c>
      <c r="AG44" s="60">
        <f t="shared" si="23"/>
        <v>-51.757199211045368</v>
      </c>
      <c r="AH44" s="38"/>
      <c r="AI44" s="60">
        <f>IF(AI$34="",IFERROR(VLOOKUP((AI$36&amp;"&amp;"&amp;$V44),'MASTER DATA'!$R:$X,7,FALSE)*AI$35*(VLOOKUP(AI$36,'MASTER DATA'!$AG:$AH,2,FALSE)),0),IFERROR(VLOOKUP((AI$36&amp;"&amp;"&amp;$V44),'MASTER DATA'!$R:$X,7,FALSE)*AI$34*(VLOOKUP(AI$36,'MASTER DATA'!$AG:$AH,2,FALSE)),0))</f>
        <v>0</v>
      </c>
      <c r="AJ44" s="60">
        <f t="shared" si="24"/>
        <v>-51.757199211045368</v>
      </c>
      <c r="AK44" s="38"/>
      <c r="AL44" s="60">
        <f>IF(AL$34="",IFERROR(VLOOKUP((AL$36&amp;"&amp;"&amp;$V44),'MASTER DATA'!$R:$X,7,FALSE)*AL$35*(VLOOKUP(AL$36,'MASTER DATA'!$AG:$AH,2,FALSE)),0),IFERROR(VLOOKUP((AL$36&amp;"&amp;"&amp;$V44),'MASTER DATA'!$R:$X,7,FALSE)*AL$34*(VLOOKUP(AL$36,'MASTER DATA'!$AG:$AH,2,FALSE)),0))</f>
        <v>665.6</v>
      </c>
      <c r="AM44" s="60">
        <f t="shared" si="25"/>
        <v>613.84280078895461</v>
      </c>
      <c r="AN44" s="38"/>
      <c r="AO44" s="60">
        <f>IF(AO$34="",IFERROR(VLOOKUP((AO$36&amp;"&amp;"&amp;$V44),'MASTER DATA'!$R:$X,7,FALSE)*AO$35*(VLOOKUP(AO$36,'MASTER DATA'!$AG:$AH,2,FALSE)),0),IFERROR(VLOOKUP((AO$36&amp;"&amp;"&amp;$V44),'MASTER DATA'!$R:$X,7,FALSE)*AO$34*(VLOOKUP(AO$36,'MASTER DATA'!$AG:$AH,2,FALSE)),0))</f>
        <v>0</v>
      </c>
      <c r="AP44" s="60">
        <f t="shared" si="26"/>
        <v>613.84280078895461</v>
      </c>
      <c r="AQ44" s="38"/>
      <c r="AR44" s="60">
        <f>IF(AR$34="",IFERROR(VLOOKUP((AR$36&amp;"&amp;"&amp;$V44),'MASTER DATA'!$R:$X,7,FALSE)*AR$35*(VLOOKUP(AR$36,'MASTER DATA'!$AG:$AH,2,FALSE)),0),IFERROR(VLOOKUP((AR$36&amp;"&amp;"&amp;$V44),'MASTER DATA'!$R:$X,7,FALSE)*AR$34*(VLOOKUP(AR$36,'MASTER DATA'!$AG:$AH,2,FALSE)),0))</f>
        <v>0</v>
      </c>
      <c r="AS44" s="60">
        <f t="shared" si="27"/>
        <v>613.84280078895461</v>
      </c>
      <c r="AT44" s="38"/>
      <c r="AU44" s="60">
        <f>IF(AU$34="",IFERROR(VLOOKUP((AU$36&amp;"&amp;"&amp;$V44),'MASTER DATA'!$R:$X,7,FALSE)*AU$35*(VLOOKUP(AU$36,'MASTER DATA'!$AG:$AH,2,FALSE)),0),IFERROR(VLOOKUP((AU$36&amp;"&amp;"&amp;$V44),'MASTER DATA'!$R:$X,7,FALSE)*AU$34*(VLOOKUP(AU$36,'MASTER DATA'!$AG:$AH,2,FALSE)),0))</f>
        <v>0</v>
      </c>
      <c r="AV44" s="60">
        <f t="shared" si="28"/>
        <v>613.84280078895461</v>
      </c>
      <c r="AW44" s="60"/>
      <c r="AX44" s="60">
        <f>IF(AX$34="",IFERROR(VLOOKUP((AX$36&amp;"&amp;"&amp;$V44),'MASTER DATA'!$R:$X,7,FALSE)*AX$35*(VLOOKUP(AX$36,'MASTER DATA'!$AG:$AH,2,FALSE)),0),IFERROR(VLOOKUP((AX$36&amp;"&amp;"&amp;$V44),'MASTER DATA'!$R:$X,7,FALSE)*AX$34*(VLOOKUP(AX$36,'MASTER DATA'!$AG:$AH,2,FALSE)),0))</f>
        <v>0</v>
      </c>
      <c r="AY44" s="60">
        <f t="shared" si="29"/>
        <v>613.84280078895461</v>
      </c>
    </row>
    <row r="45" spans="1:52" x14ac:dyDescent="0.25">
      <c r="A45" s="71"/>
      <c r="B45" s="38"/>
      <c r="C45" s="211" t="s">
        <v>396</v>
      </c>
      <c r="D45" s="211" t="s">
        <v>397</v>
      </c>
      <c r="E45" s="212">
        <v>8.6</v>
      </c>
      <c r="F45" s="212">
        <v>0</v>
      </c>
      <c r="G45" s="211">
        <v>7</v>
      </c>
      <c r="H45" s="39">
        <f t="shared" si="12"/>
        <v>2.3153846153846152</v>
      </c>
      <c r="I45" s="39"/>
      <c r="J45" s="38">
        <v>0</v>
      </c>
      <c r="K45" s="38">
        <v>0</v>
      </c>
      <c r="L45" s="40">
        <f t="shared" si="18"/>
        <v>10.915384615384614</v>
      </c>
      <c r="M45" s="40">
        <f t="shared" si="14"/>
        <v>0.41982248520710053</v>
      </c>
      <c r="N45" s="41">
        <f>VLOOKUP(C45,'MASTER DATA'!B:D,3,0)</f>
        <v>1.1000000000000001</v>
      </c>
      <c r="O45" s="77">
        <f t="shared" si="15"/>
        <v>381.65680473372771</v>
      </c>
      <c r="P45" s="42">
        <f t="shared" si="16"/>
        <v>2.3153846153846143</v>
      </c>
      <c r="Q45" s="77">
        <f t="shared" si="17"/>
        <v>6.9999999999999964</v>
      </c>
      <c r="R45" s="38"/>
      <c r="S45" s="38"/>
      <c r="U45" s="27">
        <v>0.7</v>
      </c>
      <c r="V45" s="26" t="s">
        <v>70</v>
      </c>
      <c r="W45" s="36"/>
      <c r="X45" s="36">
        <f t="shared" si="21"/>
        <v>107.77683854606931</v>
      </c>
      <c r="Y45" s="36"/>
      <c r="Z45" s="36"/>
      <c r="AA45" s="36">
        <f t="shared" si="22"/>
        <v>107.77683854606931</v>
      </c>
      <c r="AB45" s="53"/>
      <c r="AC45" s="60">
        <f>IF(AC$34="",IFERROR(VLOOKUP((AC$36&amp;"&amp;"&amp;$V45),'MASTER DATA'!$R:$X,7,FALSE)*AC$35*(VLOOKUP(AC$36,'MASTER DATA'!$AG:$AH,2,FALSE)),0),IFERROR(VLOOKUP((AC$36&amp;"&amp;"&amp;$V45),'MASTER DATA'!$R:$X,7,FALSE)*AC$34*(VLOOKUP(AC$36,'MASTER DATA'!$AG:$AH,2,FALSE)),0))</f>
        <v>0</v>
      </c>
      <c r="AD45" s="60">
        <f t="shared" si="20"/>
        <v>-107.77683854606931</v>
      </c>
      <c r="AE45" s="53"/>
      <c r="AF45" s="60">
        <f>IF(AF$34="",IFERROR(VLOOKUP((AF$36&amp;"&amp;"&amp;$V45),'MASTER DATA'!$R:$X,7,FALSE)*AF$35*(VLOOKUP(AF$36,'MASTER DATA'!$AG:$AH,2,FALSE)),0),IFERROR(VLOOKUP((AF$36&amp;"&amp;"&amp;$V45),'MASTER DATA'!$R:$X,7,FALSE)*AF$34*(VLOOKUP(AF$36,'MASTER DATA'!$AG:$AH,2,FALSE)),0))</f>
        <v>0</v>
      </c>
      <c r="AG45" s="60">
        <f t="shared" si="23"/>
        <v>-107.77683854606931</v>
      </c>
      <c r="AH45" s="53"/>
      <c r="AI45" s="60">
        <f>IF(AI$34="",IFERROR(VLOOKUP((AI$36&amp;"&amp;"&amp;$V45),'MASTER DATA'!$R:$X,7,FALSE)*AI$35*(VLOOKUP(AI$36,'MASTER DATA'!$AG:$AH,2,FALSE)),0),IFERROR(VLOOKUP((AI$36&amp;"&amp;"&amp;$V45),'MASTER DATA'!$R:$X,7,FALSE)*AI$34*(VLOOKUP(AI$36,'MASTER DATA'!$AG:$AH,2,FALSE)),0))</f>
        <v>0</v>
      </c>
      <c r="AJ45" s="60">
        <f t="shared" si="24"/>
        <v>-107.77683854606931</v>
      </c>
      <c r="AK45" s="53">
        <v>1</v>
      </c>
      <c r="AL45" s="60">
        <f>IF(AL$34="",IFERROR(VLOOKUP((AL$36&amp;"&amp;"&amp;$V45),'MASTER DATA'!$R:$X,7,FALSE)*AL$35*(VLOOKUP(AL$36,'MASTER DATA'!$AG:$AH,2,FALSE)),0),IFERROR(VLOOKUP((AL$36&amp;"&amp;"&amp;$V45),'MASTER DATA'!$R:$X,7,FALSE)*AL$34*(VLOOKUP(AL$36,'MASTER DATA'!$AG:$AH,2,FALSE)),0))</f>
        <v>870.40000000000009</v>
      </c>
      <c r="AM45" s="60">
        <f t="shared" si="25"/>
        <v>762.62316145393083</v>
      </c>
      <c r="AN45" s="53"/>
      <c r="AO45" s="60">
        <f>IF(AO$34="",IFERROR(VLOOKUP((AO$36&amp;"&amp;"&amp;$V45),'MASTER DATA'!$R:$X,7,FALSE)*AO$35*(VLOOKUP(AO$36,'MASTER DATA'!$AG:$AH,2,FALSE)),0),IFERROR(VLOOKUP((AO$36&amp;"&amp;"&amp;$V45),'MASTER DATA'!$R:$X,7,FALSE)*AO$34*(VLOOKUP(AO$36,'MASTER DATA'!$AG:$AH,2,FALSE)),0))</f>
        <v>0</v>
      </c>
      <c r="AP45" s="60">
        <f t="shared" si="26"/>
        <v>762.62316145393083</v>
      </c>
      <c r="AQ45" s="53"/>
      <c r="AR45" s="60">
        <f>IF(AR$34="",IFERROR(VLOOKUP((AR$36&amp;"&amp;"&amp;$V45),'MASTER DATA'!$R:$X,7,FALSE)*AR$35*(VLOOKUP(AR$36,'MASTER DATA'!$AG:$AH,2,FALSE)),0),IFERROR(VLOOKUP((AR$36&amp;"&amp;"&amp;$V45),'MASTER DATA'!$R:$X,7,FALSE)*AR$34*(VLOOKUP(AR$36,'MASTER DATA'!$AG:$AH,2,FALSE)),0))</f>
        <v>0</v>
      </c>
      <c r="AS45" s="60">
        <f t="shared" si="27"/>
        <v>762.62316145393083</v>
      </c>
      <c r="AT45" s="53"/>
      <c r="AU45" s="60">
        <f>IF(AU$34="",IFERROR(VLOOKUP((AU$36&amp;"&amp;"&amp;$V45),'MASTER DATA'!$R:$X,7,FALSE)*AU$35*(VLOOKUP(AU$36,'MASTER DATA'!$AG:$AH,2,FALSE)),0),IFERROR(VLOOKUP((AU$36&amp;"&amp;"&amp;$V45),'MASTER DATA'!$R:$X,7,FALSE)*AU$34*(VLOOKUP(AU$36,'MASTER DATA'!$AG:$AH,2,FALSE)),0))</f>
        <v>0</v>
      </c>
      <c r="AV45" s="60">
        <f t="shared" si="28"/>
        <v>762.62316145393083</v>
      </c>
      <c r="AW45" s="76"/>
      <c r="AX45" s="60">
        <f>IF(AX$34="",IFERROR(VLOOKUP((AX$36&amp;"&amp;"&amp;$V45),'MASTER DATA'!$R:$X,7,FALSE)*AX$35*(VLOOKUP(AX$36,'MASTER DATA'!$AG:$AH,2,FALSE)),0),IFERROR(VLOOKUP((AX$36&amp;"&amp;"&amp;$V45),'MASTER DATA'!$R:$X,7,FALSE)*AX$34*(VLOOKUP(AX$36,'MASTER DATA'!$AG:$AH,2,FALSE)),0))</f>
        <v>0</v>
      </c>
      <c r="AY45" s="60">
        <f t="shared" si="29"/>
        <v>762.62316145393083</v>
      </c>
    </row>
    <row r="46" spans="1:52" x14ac:dyDescent="0.25">
      <c r="A46" s="71"/>
      <c r="B46" s="38"/>
      <c r="C46" s="211" t="s">
        <v>398</v>
      </c>
      <c r="D46" s="211" t="s">
        <v>399</v>
      </c>
      <c r="E46" s="212">
        <v>13.62</v>
      </c>
      <c r="F46" s="212">
        <v>4.3139999999999998E-2</v>
      </c>
      <c r="G46" s="211">
        <v>7</v>
      </c>
      <c r="H46" s="39">
        <f t="shared" si="12"/>
        <v>3.666923076923077</v>
      </c>
      <c r="I46" s="39"/>
      <c r="J46" s="38">
        <v>0</v>
      </c>
      <c r="K46" s="38">
        <v>0</v>
      </c>
      <c r="L46" s="40">
        <f t="shared" si="18"/>
        <v>17.243783076923076</v>
      </c>
      <c r="M46" s="40">
        <f t="shared" si="14"/>
        <v>0.66322242603550297</v>
      </c>
      <c r="N46" s="41">
        <f>VLOOKUP(C46,'MASTER DATA'!B:D,3,0)</f>
        <v>1.1000000000000001</v>
      </c>
      <c r="O46" s="77">
        <f t="shared" si="15"/>
        <v>602.92947821409359</v>
      </c>
      <c r="P46" s="42">
        <f t="shared" si="16"/>
        <v>3.6669230769230783</v>
      </c>
      <c r="Q46" s="77">
        <f t="shared" si="17"/>
        <v>7.0000000000000027</v>
      </c>
      <c r="R46" s="38"/>
      <c r="S46" s="38"/>
      <c r="U46" s="27">
        <v>0.8</v>
      </c>
      <c r="V46" s="24" t="s">
        <v>72</v>
      </c>
      <c r="W46" s="19"/>
      <c r="X46" s="19">
        <f t="shared" si="21"/>
        <v>1095.8472633136091</v>
      </c>
      <c r="Y46" s="19"/>
      <c r="Z46" s="19"/>
      <c r="AA46" s="19">
        <f t="shared" si="22"/>
        <v>1095.8472633136091</v>
      </c>
      <c r="AB46" s="38"/>
      <c r="AC46" s="60">
        <f>IF(AC$34="",IFERROR(VLOOKUP((AC$36&amp;"&amp;"&amp;$V46),'MASTER DATA'!$R:$X,7,FALSE)*AC$35*(VLOOKUP(AC$36,'MASTER DATA'!$AG:$AH,2,FALSE)),0),IFERROR(VLOOKUP((AC$36&amp;"&amp;"&amp;$V46),'MASTER DATA'!$R:$X,7,FALSE)*AC$34*(VLOOKUP(AC$36,'MASTER DATA'!$AG:$AH,2,FALSE)),0))</f>
        <v>0</v>
      </c>
      <c r="AD46" s="60">
        <f t="shared" si="20"/>
        <v>-1095.8472633136091</v>
      </c>
      <c r="AE46" s="38"/>
      <c r="AF46" s="60">
        <f>IF(AF$34="",IFERROR(VLOOKUP((AF$36&amp;"&amp;"&amp;$V46),'MASTER DATA'!$R:$X,7,FALSE)*AF$35*(VLOOKUP(AF$36,'MASTER DATA'!$AG:$AH,2,FALSE)),0),IFERROR(VLOOKUP((AF$36&amp;"&amp;"&amp;$V46),'MASTER DATA'!$R:$X,7,FALSE)*AF$34*(VLOOKUP(AF$36,'MASTER DATA'!$AG:$AH,2,FALSE)),0))</f>
        <v>0</v>
      </c>
      <c r="AG46" s="60">
        <f t="shared" si="23"/>
        <v>-1095.8472633136091</v>
      </c>
      <c r="AH46" s="38"/>
      <c r="AI46" s="60">
        <f>IF(AI$34="",IFERROR(VLOOKUP((AI$36&amp;"&amp;"&amp;$V46),'MASTER DATA'!$R:$X,7,FALSE)*AI$35*(VLOOKUP(AI$36,'MASTER DATA'!$AG:$AH,2,FALSE)),0),IFERROR(VLOOKUP((AI$36&amp;"&amp;"&amp;$V46),'MASTER DATA'!$R:$X,7,FALSE)*AI$34*(VLOOKUP(AI$36,'MASTER DATA'!$AG:$AH,2,FALSE)),0))</f>
        <v>0</v>
      </c>
      <c r="AJ46" s="60">
        <f t="shared" si="24"/>
        <v>-1095.8472633136091</v>
      </c>
      <c r="AK46" s="38"/>
      <c r="AL46" s="60">
        <f>IF(AL$34="",IFERROR(VLOOKUP((AL$36&amp;"&amp;"&amp;$V46),'MASTER DATA'!$R:$X,7,FALSE)*AL$35*(VLOOKUP(AL$36,'MASTER DATA'!$AG:$AH,2,FALSE)),0),IFERROR(VLOOKUP((AL$36&amp;"&amp;"&amp;$V46),'MASTER DATA'!$R:$X,7,FALSE)*AL$34*(VLOOKUP(AL$36,'MASTER DATA'!$AG:$AH,2,FALSE)),0))</f>
        <v>512</v>
      </c>
      <c r="AM46" s="60">
        <f t="shared" si="25"/>
        <v>-583.84726331360912</v>
      </c>
      <c r="AN46" s="38"/>
      <c r="AO46" s="60">
        <f>IF(AO$34="",IFERROR(VLOOKUP((AO$36&amp;"&amp;"&amp;$V46),'MASTER DATA'!$R:$X,7,FALSE)*AO$35*(VLOOKUP(AO$36,'MASTER DATA'!$AG:$AH,2,FALSE)),0),IFERROR(VLOOKUP((AO$36&amp;"&amp;"&amp;$V46),'MASTER DATA'!$R:$X,7,FALSE)*AO$34*(VLOOKUP(AO$36,'MASTER DATA'!$AG:$AH,2,FALSE)),0))</f>
        <v>0</v>
      </c>
      <c r="AP46" s="60">
        <f t="shared" si="26"/>
        <v>-583.84726331360912</v>
      </c>
      <c r="AQ46" s="38"/>
      <c r="AR46" s="60">
        <f>IF(AR$34="",IFERROR(VLOOKUP((AR$36&amp;"&amp;"&amp;$V46),'MASTER DATA'!$R:$X,7,FALSE)*AR$35*(VLOOKUP(AR$36,'MASTER DATA'!$AG:$AH,2,FALSE)),0),IFERROR(VLOOKUP((AR$36&amp;"&amp;"&amp;$V46),'MASTER DATA'!$R:$X,7,FALSE)*AR$34*(VLOOKUP(AR$36,'MASTER DATA'!$AG:$AH,2,FALSE)),0))</f>
        <v>0</v>
      </c>
      <c r="AS46" s="60">
        <f t="shared" si="27"/>
        <v>-583.84726331360912</v>
      </c>
      <c r="AT46" s="38"/>
      <c r="AU46" s="60">
        <f>IF(AU$34="",IFERROR(VLOOKUP((AU$36&amp;"&amp;"&amp;$V46),'MASTER DATA'!$R:$X,7,FALSE)*AU$35*(VLOOKUP(AU$36,'MASTER DATA'!$AG:$AH,2,FALSE)),0),IFERROR(VLOOKUP((AU$36&amp;"&amp;"&amp;$V46),'MASTER DATA'!$R:$X,7,FALSE)*AU$34*(VLOOKUP(AU$36,'MASTER DATA'!$AG:$AH,2,FALSE)),0))</f>
        <v>0</v>
      </c>
      <c r="AV46" s="60">
        <f t="shared" si="28"/>
        <v>-583.84726331360912</v>
      </c>
      <c r="AW46" s="60"/>
      <c r="AX46" s="60">
        <f>IF(AX$34="",IFERROR(VLOOKUP((AX$36&amp;"&amp;"&amp;$V46),'MASTER DATA'!$R:$X,7,FALSE)*AX$35*(VLOOKUP(AX$36,'MASTER DATA'!$AG:$AH,2,FALSE)),0),IFERROR(VLOOKUP((AX$36&amp;"&amp;"&amp;$V46),'MASTER DATA'!$R:$X,7,FALSE)*AX$34*(VLOOKUP(AX$36,'MASTER DATA'!$AG:$AH,2,FALSE)),0))</f>
        <v>0</v>
      </c>
      <c r="AY46" s="60">
        <f t="shared" si="29"/>
        <v>-583.84726331360912</v>
      </c>
    </row>
    <row r="47" spans="1:52" x14ac:dyDescent="0.25">
      <c r="A47" s="71"/>
      <c r="B47" s="38"/>
      <c r="C47" s="211" t="s">
        <v>400</v>
      </c>
      <c r="D47" s="211" t="s">
        <v>401</v>
      </c>
      <c r="E47" s="212">
        <v>2.7</v>
      </c>
      <c r="F47" s="212">
        <v>0</v>
      </c>
      <c r="G47" s="211">
        <v>7</v>
      </c>
      <c r="H47" s="39">
        <f t="shared" si="12"/>
        <v>0.72692307692307701</v>
      </c>
      <c r="I47" s="39"/>
      <c r="J47" s="38">
        <v>0</v>
      </c>
      <c r="K47" s="38">
        <v>0</v>
      </c>
      <c r="L47" s="40">
        <f t="shared" si="18"/>
        <v>3.4269230769230772</v>
      </c>
      <c r="M47" s="40">
        <f t="shared" si="14"/>
        <v>0.13180473372781065</v>
      </c>
      <c r="N47" s="41">
        <f>VLOOKUP(C47,'MASTER DATA'!B:D,3,0)</f>
        <v>1.1000000000000001</v>
      </c>
      <c r="O47" s="77">
        <f t="shared" si="15"/>
        <v>119.82248520710058</v>
      </c>
      <c r="P47" s="42">
        <f t="shared" si="16"/>
        <v>0.72692307692307701</v>
      </c>
      <c r="Q47" s="77">
        <f t="shared" si="17"/>
        <v>7</v>
      </c>
      <c r="R47" s="38"/>
      <c r="S47" s="38"/>
      <c r="U47" s="27">
        <v>0.9</v>
      </c>
      <c r="V47" s="18" t="s">
        <v>73</v>
      </c>
      <c r="W47" s="19"/>
      <c r="X47" s="19">
        <f t="shared" si="21"/>
        <v>441.57576594345829</v>
      </c>
      <c r="Y47" s="19"/>
      <c r="Z47" s="19"/>
      <c r="AA47" s="19">
        <f t="shared" si="22"/>
        <v>441.57576594345829</v>
      </c>
      <c r="AB47" s="38"/>
      <c r="AC47" s="60">
        <f>IF(AC$34="",IFERROR(VLOOKUP((AC$36&amp;"&amp;"&amp;$V47),'MASTER DATA'!$R:$X,7,FALSE)*AC$35*(VLOOKUP(AC$36,'MASTER DATA'!$AG:$AH,2,FALSE)),0),IFERROR(VLOOKUP((AC$36&amp;"&amp;"&amp;$V47),'MASTER DATA'!$R:$X,7,FALSE)*AC$34*(VLOOKUP(AC$36,'MASTER DATA'!$AG:$AH,2,FALSE)),0))</f>
        <v>0</v>
      </c>
      <c r="AD47" s="60">
        <f t="shared" si="20"/>
        <v>-441.57576594345829</v>
      </c>
      <c r="AE47" s="38"/>
      <c r="AF47" s="60">
        <f>IF(AF$34="",IFERROR(VLOOKUP((AF$36&amp;"&amp;"&amp;$V47),'MASTER DATA'!$R:$X,7,FALSE)*AF$35*(VLOOKUP(AF$36,'MASTER DATA'!$AG:$AH,2,FALSE)),0),IFERROR(VLOOKUP((AF$36&amp;"&amp;"&amp;$V47),'MASTER DATA'!$R:$X,7,FALSE)*AF$34*(VLOOKUP(AF$36,'MASTER DATA'!$AG:$AH,2,FALSE)),0))</f>
        <v>0</v>
      </c>
      <c r="AG47" s="60">
        <f t="shared" si="23"/>
        <v>-441.57576594345829</v>
      </c>
      <c r="AH47" s="38"/>
      <c r="AI47" s="60">
        <f>IF(AI$34="",IFERROR(VLOOKUP((AI$36&amp;"&amp;"&amp;$V47),'MASTER DATA'!$R:$X,7,FALSE)*AI$35*(VLOOKUP(AI$36,'MASTER DATA'!$AG:$AH,2,FALSE)),0),IFERROR(VLOOKUP((AI$36&amp;"&amp;"&amp;$V47),'MASTER DATA'!$R:$X,7,FALSE)*AI$34*(VLOOKUP(AI$36,'MASTER DATA'!$AG:$AH,2,FALSE)),0))</f>
        <v>0</v>
      </c>
      <c r="AJ47" s="60">
        <f t="shared" si="24"/>
        <v>-441.57576594345829</v>
      </c>
      <c r="AK47" s="38"/>
      <c r="AL47" s="60">
        <f>IF(AL$34="",IFERROR(VLOOKUP((AL$36&amp;"&amp;"&amp;$V47),'MASTER DATA'!$R:$X,7,FALSE)*AL$35*(VLOOKUP(AL$36,'MASTER DATA'!$AG:$AH,2,FALSE)),0),IFERROR(VLOOKUP((AL$36&amp;"&amp;"&amp;$V47),'MASTER DATA'!$R:$X,7,FALSE)*AL$34*(VLOOKUP(AL$36,'MASTER DATA'!$AG:$AH,2,FALSE)),0))</f>
        <v>179.20000000000002</v>
      </c>
      <c r="AM47" s="60">
        <f t="shared" si="25"/>
        <v>-262.3757659434583</v>
      </c>
      <c r="AN47" s="38"/>
      <c r="AO47" s="60">
        <f>IF(AO$34="",IFERROR(VLOOKUP((AO$36&amp;"&amp;"&amp;$V47),'MASTER DATA'!$R:$X,7,FALSE)*AO$35*(VLOOKUP(AO$36,'MASTER DATA'!$AG:$AH,2,FALSE)),0),IFERROR(VLOOKUP((AO$36&amp;"&amp;"&amp;$V47),'MASTER DATA'!$R:$X,7,FALSE)*AO$34*(VLOOKUP(AO$36,'MASTER DATA'!$AG:$AH,2,FALSE)),0))</f>
        <v>0</v>
      </c>
      <c r="AP47" s="60">
        <f t="shared" si="26"/>
        <v>-262.3757659434583</v>
      </c>
      <c r="AQ47" s="38"/>
      <c r="AR47" s="60">
        <f>IF(AR$34="",IFERROR(VLOOKUP((AR$36&amp;"&amp;"&amp;$V47),'MASTER DATA'!$R:$X,7,FALSE)*AR$35*(VLOOKUP(AR$36,'MASTER DATA'!$AG:$AH,2,FALSE)),0),IFERROR(VLOOKUP((AR$36&amp;"&amp;"&amp;$V47),'MASTER DATA'!$R:$X,7,FALSE)*AR$34*(VLOOKUP(AR$36,'MASTER DATA'!$AG:$AH,2,FALSE)),0))</f>
        <v>0</v>
      </c>
      <c r="AS47" s="60">
        <f t="shared" si="27"/>
        <v>-262.3757659434583</v>
      </c>
      <c r="AT47" s="38"/>
      <c r="AU47" s="60">
        <f>IF(AU$34="",IFERROR(VLOOKUP((AU$36&amp;"&amp;"&amp;$V47),'MASTER DATA'!$R:$X,7,FALSE)*AU$35*(VLOOKUP(AU$36,'MASTER DATA'!$AG:$AH,2,FALSE)),0),IFERROR(VLOOKUP((AU$36&amp;"&amp;"&amp;$V47),'MASTER DATA'!$R:$X,7,FALSE)*AU$34*(VLOOKUP(AU$36,'MASTER DATA'!$AG:$AH,2,FALSE)),0))</f>
        <v>0</v>
      </c>
      <c r="AV47" s="60">
        <f t="shared" si="28"/>
        <v>-262.3757659434583</v>
      </c>
      <c r="AW47" s="60"/>
      <c r="AX47" s="60">
        <f>IF(AX$34="",IFERROR(VLOOKUP((AX$36&amp;"&amp;"&amp;$V47),'MASTER DATA'!$R:$X,7,FALSE)*AX$35*(VLOOKUP(AX$36,'MASTER DATA'!$AG:$AH,2,FALSE)),0),IFERROR(VLOOKUP((AX$36&amp;"&amp;"&amp;$V47),'MASTER DATA'!$R:$X,7,FALSE)*AX$34*(VLOOKUP(AX$36,'MASTER DATA'!$AG:$AH,2,FALSE)),0))</f>
        <v>0</v>
      </c>
      <c r="AY47" s="60">
        <f t="shared" si="29"/>
        <v>-262.3757659434583</v>
      </c>
    </row>
    <row r="48" spans="1:52" x14ac:dyDescent="0.25">
      <c r="A48" s="71"/>
      <c r="B48" s="38"/>
      <c r="C48" s="211" t="s">
        <v>402</v>
      </c>
      <c r="D48" s="211" t="s">
        <v>403</v>
      </c>
      <c r="E48" s="212">
        <v>0.1028</v>
      </c>
      <c r="F48" s="212">
        <v>5.6030000000000003E-2</v>
      </c>
      <c r="G48" s="211">
        <v>7</v>
      </c>
      <c r="H48" s="39">
        <f t="shared" si="12"/>
        <v>2.7676923076923078E-2</v>
      </c>
      <c r="I48" s="39"/>
      <c r="J48" s="38">
        <v>0</v>
      </c>
      <c r="K48" s="38">
        <v>0</v>
      </c>
      <c r="L48" s="40">
        <f t="shared" si="18"/>
        <v>7.4446923076923077E-2</v>
      </c>
      <c r="M48" s="40">
        <f t="shared" si="14"/>
        <v>2.8633431952662723E-3</v>
      </c>
      <c r="N48" s="41">
        <f>VLOOKUP(C48,'MASTER DATA'!B:D,3,0)</f>
        <v>0.9</v>
      </c>
      <c r="O48" s="77">
        <f t="shared" si="15"/>
        <v>3.1814924391847472</v>
      </c>
      <c r="P48" s="42">
        <f t="shared" si="16"/>
        <v>2.7676923076923071E-2</v>
      </c>
      <c r="Q48" s="77">
        <f t="shared" si="17"/>
        <v>6.9999999999999982</v>
      </c>
      <c r="R48" s="38"/>
      <c r="S48" s="38"/>
      <c r="U48" s="65">
        <v>1</v>
      </c>
      <c r="V48" s="66" t="s">
        <v>74</v>
      </c>
      <c r="W48" s="36"/>
      <c r="X48" s="36">
        <f t="shared" si="21"/>
        <v>314.02420118343196</v>
      </c>
      <c r="Y48" s="36"/>
      <c r="Z48" s="36"/>
      <c r="AA48" s="36">
        <f t="shared" si="22"/>
        <v>314.02420118343196</v>
      </c>
      <c r="AB48" s="38"/>
      <c r="AC48" s="60">
        <f>IF(AC$34="",IFERROR(VLOOKUP((AC$36&amp;"&amp;"&amp;$V48),'MASTER DATA'!$R:$X,7,FALSE)*AC$35*(VLOOKUP(AC$36,'MASTER DATA'!$AG:$AH,2,FALSE)),0),IFERROR(VLOOKUP((AC$36&amp;"&amp;"&amp;$V48),'MASTER DATA'!$R:$X,7,FALSE)*AC$34*(VLOOKUP(AC$36,'MASTER DATA'!$AG:$AH,2,FALSE)),0))</f>
        <v>0</v>
      </c>
      <c r="AD48" s="60">
        <f t="shared" si="20"/>
        <v>-314.02420118343196</v>
      </c>
      <c r="AE48" s="38"/>
      <c r="AF48" s="60">
        <f>IF(AF$34="",IFERROR(VLOOKUP((AF$36&amp;"&amp;"&amp;$V48),'MASTER DATA'!$R:$X,7,FALSE)*AF$35*(VLOOKUP(AF$36,'MASTER DATA'!$AG:$AH,2,FALSE)),0),IFERROR(VLOOKUP((AF$36&amp;"&amp;"&amp;$V48),'MASTER DATA'!$R:$X,7,FALSE)*AF$34*(VLOOKUP(AF$36,'MASTER DATA'!$AG:$AH,2,FALSE)),0))</f>
        <v>0</v>
      </c>
      <c r="AG48" s="60">
        <f t="shared" si="23"/>
        <v>-314.02420118343196</v>
      </c>
      <c r="AH48" s="38"/>
      <c r="AI48" s="60">
        <f>IF(AI$34="",IFERROR(VLOOKUP((AI$36&amp;"&amp;"&amp;$V48),'MASTER DATA'!$R:$X,7,FALSE)*AI$35*(VLOOKUP(AI$36,'MASTER DATA'!$AG:$AH,2,FALSE)),0),IFERROR(VLOOKUP((AI$36&amp;"&amp;"&amp;$V48),'MASTER DATA'!$R:$X,7,FALSE)*AI$34*(VLOOKUP(AI$36,'MASTER DATA'!$AG:$AH,2,FALSE)),0))</f>
        <v>0</v>
      </c>
      <c r="AJ48" s="60">
        <f t="shared" si="24"/>
        <v>-314.02420118343196</v>
      </c>
      <c r="AK48" s="38"/>
      <c r="AL48" s="60">
        <f>IF(AL$34="",IFERROR(VLOOKUP((AL$36&amp;"&amp;"&amp;$V48),'MASTER DATA'!$R:$X,7,FALSE)*AL$35*(VLOOKUP(AL$36,'MASTER DATA'!$AG:$AH,2,FALSE)),0),IFERROR(VLOOKUP((AL$36&amp;"&amp;"&amp;$V48),'MASTER DATA'!$R:$X,7,FALSE)*AL$34*(VLOOKUP(AL$36,'MASTER DATA'!$AG:$AH,2,FALSE)),0))</f>
        <v>0</v>
      </c>
      <c r="AM48" s="60">
        <f t="shared" si="25"/>
        <v>-314.02420118343196</v>
      </c>
      <c r="AN48" s="38"/>
      <c r="AO48" s="60">
        <f>IF(AO$34="",IFERROR(VLOOKUP((AO$36&amp;"&amp;"&amp;$V48),'MASTER DATA'!$R:$X,7,FALSE)*AO$35*(VLOOKUP(AO$36,'MASTER DATA'!$AG:$AH,2,FALSE)),0),IFERROR(VLOOKUP((AO$36&amp;"&amp;"&amp;$V48),'MASTER DATA'!$R:$X,7,FALSE)*AO$34*(VLOOKUP(AO$36,'MASTER DATA'!$AG:$AH,2,FALSE)),0))</f>
        <v>0</v>
      </c>
      <c r="AP48" s="60">
        <f t="shared" si="26"/>
        <v>-314.02420118343196</v>
      </c>
      <c r="AQ48" s="38"/>
      <c r="AR48" s="60">
        <f>IF(AR$34="",IFERROR(VLOOKUP((AR$36&amp;"&amp;"&amp;$V48),'MASTER DATA'!$R:$X,7,FALSE)*AR$35*(VLOOKUP(AR$36,'MASTER DATA'!$AG:$AH,2,FALSE)),0),IFERROR(VLOOKUP((AR$36&amp;"&amp;"&amp;$V48),'MASTER DATA'!$R:$X,7,FALSE)*AR$34*(VLOOKUP(AR$36,'MASTER DATA'!$AG:$AH,2,FALSE)),0))</f>
        <v>0</v>
      </c>
      <c r="AS48" s="60">
        <f t="shared" si="27"/>
        <v>-314.02420118343196</v>
      </c>
      <c r="AT48" s="38"/>
      <c r="AU48" s="60">
        <f>IF(AU$34="",IFERROR(VLOOKUP((AU$36&amp;"&amp;"&amp;$V48),'MASTER DATA'!$R:$X,7,FALSE)*AU$35*(VLOOKUP(AU$36,'MASTER DATA'!$AG:$AH,2,FALSE)),0),IFERROR(VLOOKUP((AU$36&amp;"&amp;"&amp;$V48),'MASTER DATA'!$R:$X,7,FALSE)*AU$34*(VLOOKUP(AU$36,'MASTER DATA'!$AG:$AH,2,FALSE)),0))</f>
        <v>0</v>
      </c>
      <c r="AV48" s="60">
        <f t="shared" si="28"/>
        <v>-314.02420118343196</v>
      </c>
      <c r="AW48" s="60"/>
      <c r="AX48" s="60">
        <f>IF(AX$34="",IFERROR(VLOOKUP((AX$36&amp;"&amp;"&amp;$V48),'MASTER DATA'!$R:$X,7,FALSE)*AX$35*(VLOOKUP(AX$36,'MASTER DATA'!$AG:$AH,2,FALSE)),0),IFERROR(VLOOKUP((AX$36&amp;"&amp;"&amp;$V48),'MASTER DATA'!$R:$X,7,FALSE)*AX$34*(VLOOKUP(AX$36,'MASTER DATA'!$AG:$AH,2,FALSE)),0))</f>
        <v>0</v>
      </c>
      <c r="AY48" s="60">
        <f t="shared" si="29"/>
        <v>-314.02420118343196</v>
      </c>
    </row>
    <row r="49" spans="1:51" x14ac:dyDescent="0.25">
      <c r="A49" s="71"/>
      <c r="B49" s="38"/>
      <c r="C49" s="211" t="s">
        <v>14</v>
      </c>
      <c r="D49" s="211" t="s">
        <v>15</v>
      </c>
      <c r="E49" s="212">
        <v>37.005099999999992</v>
      </c>
      <c r="F49" s="212">
        <v>1.5387599999999999</v>
      </c>
      <c r="G49" s="211">
        <v>7</v>
      </c>
      <c r="H49" s="39">
        <f t="shared" si="12"/>
        <v>9.9629115384615368</v>
      </c>
      <c r="I49" s="39"/>
      <c r="J49" s="38">
        <v>0</v>
      </c>
      <c r="K49" s="38">
        <v>21</v>
      </c>
      <c r="L49" s="40">
        <f t="shared" si="18"/>
        <v>66.429251538461529</v>
      </c>
      <c r="M49" s="40">
        <f t="shared" si="14"/>
        <v>2.5549712130177511</v>
      </c>
      <c r="N49" s="41">
        <f>VLOOKUP(C49,'MASTER DATA'!B:D,3,0)</f>
        <v>1</v>
      </c>
      <c r="O49" s="77">
        <f t="shared" si="15"/>
        <v>2554.9712130177513</v>
      </c>
      <c r="P49" s="42">
        <f t="shared" si="16"/>
        <v>9.9629115384615332</v>
      </c>
      <c r="Q49" s="77">
        <f t="shared" si="17"/>
        <v>6.9999999999999982</v>
      </c>
      <c r="R49" s="38"/>
      <c r="S49" s="38"/>
      <c r="U49" s="65">
        <v>1.1000000000000001</v>
      </c>
      <c r="V49" s="67" t="s">
        <v>75</v>
      </c>
      <c r="W49" s="36"/>
      <c r="X49" s="36">
        <f t="shared" si="21"/>
        <v>53.046261430876811</v>
      </c>
      <c r="Y49" s="36"/>
      <c r="Z49" s="36"/>
      <c r="AA49" s="36">
        <f t="shared" si="22"/>
        <v>53.046261430876811</v>
      </c>
      <c r="AB49" s="38"/>
      <c r="AC49" s="60">
        <f>IF(AC$34="",IFERROR(VLOOKUP((AC$36&amp;"&amp;"&amp;$V49),'MASTER DATA'!$R:$X,7,FALSE)*AC$35*(VLOOKUP(AC$36,'MASTER DATA'!$AG:$AH,2,FALSE)),0),IFERROR(VLOOKUP((AC$36&amp;"&amp;"&amp;$V49),'MASTER DATA'!$R:$X,7,FALSE)*AC$34*(VLOOKUP(AC$36,'MASTER DATA'!$AG:$AH,2,FALSE)),0))</f>
        <v>0</v>
      </c>
      <c r="AD49" s="60">
        <f t="shared" si="20"/>
        <v>-53.046261430876811</v>
      </c>
      <c r="AE49" s="38"/>
      <c r="AF49" s="60">
        <f>IF(AF$34="",IFERROR(VLOOKUP((AF$36&amp;"&amp;"&amp;$V49),'MASTER DATA'!$R:$X,7,FALSE)*AF$35*(VLOOKUP(AF$36,'MASTER DATA'!$AG:$AH,2,FALSE)),0),IFERROR(VLOOKUP((AF$36&amp;"&amp;"&amp;$V49),'MASTER DATA'!$R:$X,7,FALSE)*AF$34*(VLOOKUP(AF$36,'MASTER DATA'!$AG:$AH,2,FALSE)),0))</f>
        <v>0</v>
      </c>
      <c r="AG49" s="60">
        <f t="shared" si="23"/>
        <v>-53.046261430876811</v>
      </c>
      <c r="AH49" s="38"/>
      <c r="AI49" s="60">
        <f>IF(AI$34="",IFERROR(VLOOKUP((AI$36&amp;"&amp;"&amp;$V49),'MASTER DATA'!$R:$X,7,FALSE)*AI$35*(VLOOKUP(AI$36,'MASTER DATA'!$AG:$AH,2,FALSE)),0),IFERROR(VLOOKUP((AI$36&amp;"&amp;"&amp;$V49),'MASTER DATA'!$R:$X,7,FALSE)*AI$34*(VLOOKUP(AI$36,'MASTER DATA'!$AG:$AH,2,FALSE)),0))</f>
        <v>0</v>
      </c>
      <c r="AJ49" s="60">
        <f t="shared" si="24"/>
        <v>-53.046261430876811</v>
      </c>
      <c r="AK49" s="38"/>
      <c r="AL49" s="60">
        <f>IF(AL$34="",IFERROR(VLOOKUP((AL$36&amp;"&amp;"&amp;$V49),'MASTER DATA'!$R:$X,7,FALSE)*AL$35*(VLOOKUP(AL$36,'MASTER DATA'!$AG:$AH,2,FALSE)),0),IFERROR(VLOOKUP((AL$36&amp;"&amp;"&amp;$V49),'MASTER DATA'!$R:$X,7,FALSE)*AL$34*(VLOOKUP(AL$36,'MASTER DATA'!$AG:$AH,2,FALSE)),0))</f>
        <v>128</v>
      </c>
      <c r="AM49" s="60">
        <f t="shared" si="25"/>
        <v>74.953738569123189</v>
      </c>
      <c r="AN49" s="38"/>
      <c r="AO49" s="60">
        <f>IF(AO$34="",IFERROR(VLOOKUP((AO$36&amp;"&amp;"&amp;$V49),'MASTER DATA'!$R:$X,7,FALSE)*AO$35*(VLOOKUP(AO$36,'MASTER DATA'!$AG:$AH,2,FALSE)),0),IFERROR(VLOOKUP((AO$36&amp;"&amp;"&amp;$V49),'MASTER DATA'!$R:$X,7,FALSE)*AO$34*(VLOOKUP(AO$36,'MASTER DATA'!$AG:$AH,2,FALSE)),0))</f>
        <v>0</v>
      </c>
      <c r="AP49" s="60">
        <f t="shared" si="26"/>
        <v>74.953738569123189</v>
      </c>
      <c r="AQ49" s="38"/>
      <c r="AR49" s="60">
        <f>IF(AR$34="",IFERROR(VLOOKUP((AR$36&amp;"&amp;"&amp;$V49),'MASTER DATA'!$R:$X,7,FALSE)*AR$35*(VLOOKUP(AR$36,'MASTER DATA'!$AG:$AH,2,FALSE)),0),IFERROR(VLOOKUP((AR$36&amp;"&amp;"&amp;$V49),'MASTER DATA'!$R:$X,7,FALSE)*AR$34*(VLOOKUP(AR$36,'MASTER DATA'!$AG:$AH,2,FALSE)),0))</f>
        <v>0</v>
      </c>
      <c r="AS49" s="60">
        <f t="shared" si="27"/>
        <v>74.953738569123189</v>
      </c>
      <c r="AT49" s="38"/>
      <c r="AU49" s="60">
        <f>IF(AU$34="",IFERROR(VLOOKUP((AU$36&amp;"&amp;"&amp;$V49),'MASTER DATA'!$R:$X,7,FALSE)*AU$35*(VLOOKUP(AU$36,'MASTER DATA'!$AG:$AH,2,FALSE)),0),IFERROR(VLOOKUP((AU$36&amp;"&amp;"&amp;$V49),'MASTER DATA'!$R:$X,7,FALSE)*AU$34*(VLOOKUP(AU$36,'MASTER DATA'!$AG:$AH,2,FALSE)),0))</f>
        <v>0</v>
      </c>
      <c r="AV49" s="60">
        <f t="shared" si="28"/>
        <v>74.953738569123189</v>
      </c>
      <c r="AW49" s="60"/>
      <c r="AX49" s="60">
        <f>IF(AX$34="",IFERROR(VLOOKUP((AX$36&amp;"&amp;"&amp;$V49),'MASTER DATA'!$R:$X,7,FALSE)*AX$35*(VLOOKUP(AX$36,'MASTER DATA'!$AG:$AH,2,FALSE)),0),IFERROR(VLOOKUP((AX$36&amp;"&amp;"&amp;$V49),'MASTER DATA'!$R:$X,7,FALSE)*AX$34*(VLOOKUP(AX$36,'MASTER DATA'!$AG:$AH,2,FALSE)),0))</f>
        <v>0</v>
      </c>
      <c r="AY49" s="60">
        <f t="shared" si="29"/>
        <v>74.953738569123189</v>
      </c>
    </row>
    <row r="50" spans="1:51" x14ac:dyDescent="0.25">
      <c r="A50" s="71"/>
      <c r="B50" s="38"/>
      <c r="C50" s="211" t="s">
        <v>6</v>
      </c>
      <c r="D50" s="211" t="s">
        <v>7</v>
      </c>
      <c r="E50" s="212">
        <v>69.244009999999989</v>
      </c>
      <c r="F50" s="212">
        <v>2.097</v>
      </c>
      <c r="G50" s="211">
        <v>7</v>
      </c>
      <c r="H50" s="39">
        <f t="shared" si="12"/>
        <v>18.642618076923071</v>
      </c>
      <c r="I50" s="39"/>
      <c r="J50" s="38">
        <v>0</v>
      </c>
      <c r="K50" s="38">
        <v>5</v>
      </c>
      <c r="L50" s="40">
        <f t="shared" si="18"/>
        <v>90.789628076923066</v>
      </c>
      <c r="M50" s="40">
        <f t="shared" si="14"/>
        <v>3.4919087721893485</v>
      </c>
      <c r="N50" s="41">
        <f>VLOOKUP(C50,'MASTER DATA'!B:D,3,0)</f>
        <v>1.1000000000000001</v>
      </c>
      <c r="O50" s="77">
        <f t="shared" si="15"/>
        <v>3174.4625201721346</v>
      </c>
      <c r="P50" s="42">
        <f t="shared" si="16"/>
        <v>18.642618076923071</v>
      </c>
      <c r="Q50" s="77">
        <f t="shared" si="17"/>
        <v>6.9999999999999991</v>
      </c>
      <c r="R50" s="38"/>
      <c r="S50" s="38"/>
      <c r="U50" s="65">
        <v>1.2</v>
      </c>
      <c r="V50" s="66" t="s">
        <v>76</v>
      </c>
      <c r="W50" s="36"/>
      <c r="X50" s="36">
        <f t="shared" si="21"/>
        <v>27.459960552268253</v>
      </c>
      <c r="Y50" s="36"/>
      <c r="Z50" s="36"/>
      <c r="AA50" s="36">
        <f t="shared" si="22"/>
        <v>27.459960552268253</v>
      </c>
      <c r="AB50" s="38"/>
      <c r="AC50" s="60">
        <f>IF(AC$34="",IFERROR(VLOOKUP((AC$36&amp;"&amp;"&amp;$V50),'MASTER DATA'!$R:$X,7,FALSE)*AC$35*(VLOOKUP(AC$36,'MASTER DATA'!$AG:$AH,2,FALSE)),0),IFERROR(VLOOKUP((AC$36&amp;"&amp;"&amp;$V50),'MASTER DATA'!$R:$X,7,FALSE)*AC$34*(VLOOKUP(AC$36,'MASTER DATA'!$AG:$AH,2,FALSE)),0))</f>
        <v>0</v>
      </c>
      <c r="AD50" s="60">
        <f t="shared" si="20"/>
        <v>-27.459960552268253</v>
      </c>
      <c r="AE50" s="38"/>
      <c r="AF50" s="60">
        <f>IF(AF$34="",IFERROR(VLOOKUP((AF$36&amp;"&amp;"&amp;$V50),'MASTER DATA'!$R:$X,7,FALSE)*AF$35*(VLOOKUP(AF$36,'MASTER DATA'!$AG:$AH,2,FALSE)),0),IFERROR(VLOOKUP((AF$36&amp;"&amp;"&amp;$V50),'MASTER DATA'!$R:$X,7,FALSE)*AF$34*(VLOOKUP(AF$36,'MASTER DATA'!$AG:$AH,2,FALSE)),0))</f>
        <v>0</v>
      </c>
      <c r="AG50" s="60">
        <f t="shared" si="23"/>
        <v>-27.459960552268253</v>
      </c>
      <c r="AH50" s="38"/>
      <c r="AI50" s="60">
        <f>IF(AI$34="",IFERROR(VLOOKUP((AI$36&amp;"&amp;"&amp;$V50),'MASTER DATA'!$R:$X,7,FALSE)*AI$35*(VLOOKUP(AI$36,'MASTER DATA'!$AG:$AH,2,FALSE)),0),IFERROR(VLOOKUP((AI$36&amp;"&amp;"&amp;$V50),'MASTER DATA'!$R:$X,7,FALSE)*AI$34*(VLOOKUP(AI$36,'MASTER DATA'!$AG:$AH,2,FALSE)),0))</f>
        <v>0</v>
      </c>
      <c r="AJ50" s="60">
        <f t="shared" si="24"/>
        <v>-27.459960552268253</v>
      </c>
      <c r="AK50" s="38"/>
      <c r="AL50" s="60">
        <f>IF(AL$34="",IFERROR(VLOOKUP((AL$36&amp;"&amp;"&amp;$V50),'MASTER DATA'!$R:$X,7,FALSE)*AL$35*(VLOOKUP(AL$36,'MASTER DATA'!$AG:$AH,2,FALSE)),0),IFERROR(VLOOKUP((AL$36&amp;"&amp;"&amp;$V50),'MASTER DATA'!$R:$X,7,FALSE)*AL$34*(VLOOKUP(AL$36,'MASTER DATA'!$AG:$AH,2,FALSE)),0))</f>
        <v>0</v>
      </c>
      <c r="AM50" s="60">
        <f t="shared" si="25"/>
        <v>-27.459960552268253</v>
      </c>
      <c r="AN50" s="38"/>
      <c r="AO50" s="60">
        <f>IF(AO$34="",IFERROR(VLOOKUP((AO$36&amp;"&amp;"&amp;$V50),'MASTER DATA'!$R:$X,7,FALSE)*AO$35*(VLOOKUP(AO$36,'MASTER DATA'!$AG:$AH,2,FALSE)),0),IFERROR(VLOOKUP((AO$36&amp;"&amp;"&amp;$V50),'MASTER DATA'!$R:$X,7,FALSE)*AO$34*(VLOOKUP(AO$36,'MASTER DATA'!$AG:$AH,2,FALSE)),0))</f>
        <v>0</v>
      </c>
      <c r="AP50" s="60">
        <f t="shared" si="26"/>
        <v>-27.459960552268253</v>
      </c>
      <c r="AQ50" s="38"/>
      <c r="AR50" s="60">
        <f>IF(AR$34="",IFERROR(VLOOKUP((AR$36&amp;"&amp;"&amp;$V50),'MASTER DATA'!$R:$X,7,FALSE)*AR$35*(VLOOKUP(AR$36,'MASTER DATA'!$AG:$AH,2,FALSE)),0),IFERROR(VLOOKUP((AR$36&amp;"&amp;"&amp;$V50),'MASTER DATA'!$R:$X,7,FALSE)*AR$34*(VLOOKUP(AR$36,'MASTER DATA'!$AG:$AH,2,FALSE)),0))</f>
        <v>0</v>
      </c>
      <c r="AS50" s="60">
        <f t="shared" si="27"/>
        <v>-27.459960552268253</v>
      </c>
      <c r="AT50" s="38"/>
      <c r="AU50" s="60">
        <f>IF(AU$34="",IFERROR(VLOOKUP((AU$36&amp;"&amp;"&amp;$V50),'MASTER DATA'!$R:$X,7,FALSE)*AU$35*(VLOOKUP(AU$36,'MASTER DATA'!$AG:$AH,2,FALSE)),0),IFERROR(VLOOKUP((AU$36&amp;"&amp;"&amp;$V50),'MASTER DATA'!$R:$X,7,FALSE)*AU$34*(VLOOKUP(AU$36,'MASTER DATA'!$AG:$AH,2,FALSE)),0))</f>
        <v>0</v>
      </c>
      <c r="AV50" s="60">
        <f t="shared" si="28"/>
        <v>-27.459960552268253</v>
      </c>
      <c r="AW50" s="60"/>
      <c r="AX50" s="60">
        <f>IF(AX$34="",IFERROR(VLOOKUP((AX$36&amp;"&amp;"&amp;$V50),'MASTER DATA'!$R:$X,7,FALSE)*AX$35*(VLOOKUP(AX$36,'MASTER DATA'!$AG:$AH,2,FALSE)),0),IFERROR(VLOOKUP((AX$36&amp;"&amp;"&amp;$V50),'MASTER DATA'!$R:$X,7,FALSE)*AX$34*(VLOOKUP(AX$36,'MASTER DATA'!$AG:$AH,2,FALSE)),0))</f>
        <v>0</v>
      </c>
      <c r="AY50" s="60">
        <f t="shared" si="29"/>
        <v>-27.459960552268253</v>
      </c>
    </row>
    <row r="51" spans="1:51" x14ac:dyDescent="0.25">
      <c r="A51" s="71"/>
      <c r="B51" s="38"/>
      <c r="C51" s="211" t="s">
        <v>8</v>
      </c>
      <c r="D51" s="211" t="s">
        <v>9</v>
      </c>
      <c r="E51" s="212">
        <v>7.0000000000000007E-2</v>
      </c>
      <c r="F51" s="212">
        <v>0</v>
      </c>
      <c r="G51" s="211">
        <v>7</v>
      </c>
      <c r="H51" s="39">
        <f t="shared" si="12"/>
        <v>1.8846153846153849E-2</v>
      </c>
      <c r="I51" s="39"/>
      <c r="J51" s="38">
        <v>0</v>
      </c>
      <c r="K51" s="38">
        <v>15</v>
      </c>
      <c r="L51" s="40">
        <f t="shared" si="18"/>
        <v>15.088846153846154</v>
      </c>
      <c r="M51" s="40">
        <f t="shared" si="14"/>
        <v>0.58034023668639056</v>
      </c>
      <c r="N51" s="41">
        <f>VLOOKUP(C51,'MASTER DATA'!B:D,3,0)</f>
        <v>1</v>
      </c>
      <c r="O51" s="77">
        <f t="shared" si="15"/>
        <v>580.34023668639054</v>
      </c>
      <c r="P51" s="42">
        <f t="shared" si="16"/>
        <v>1.884615384615379E-2</v>
      </c>
      <c r="Q51" s="77">
        <f t="shared" si="17"/>
        <v>6.9999999999999787</v>
      </c>
      <c r="R51" s="38"/>
      <c r="S51" s="38"/>
      <c r="U51" s="27">
        <v>1.3</v>
      </c>
      <c r="V51" s="18" t="s">
        <v>77</v>
      </c>
      <c r="W51" s="19"/>
      <c r="X51" s="19">
        <f t="shared" si="21"/>
        <v>0</v>
      </c>
      <c r="Y51" s="19"/>
      <c r="Z51" s="19"/>
      <c r="AA51" s="19">
        <f t="shared" si="22"/>
        <v>0</v>
      </c>
      <c r="AB51" s="38"/>
      <c r="AC51" s="60">
        <f>IF(AC$34="",IFERROR(VLOOKUP((AC$36&amp;"&amp;"&amp;$V51),'MASTER DATA'!$R:$X,7,FALSE)*AC$35*(VLOOKUP(AC$36,'MASTER DATA'!$AG:$AH,2,FALSE)),0),IFERROR(VLOOKUP((AC$36&amp;"&amp;"&amp;$V51),'MASTER DATA'!$R:$X,7,FALSE)*AC$34*(VLOOKUP(AC$36,'MASTER DATA'!$AG:$AH,2,FALSE)),0))</f>
        <v>0</v>
      </c>
      <c r="AD51" s="60">
        <f t="shared" si="20"/>
        <v>0</v>
      </c>
      <c r="AE51" s="38"/>
      <c r="AF51" s="60">
        <f>IF(AF$34="",IFERROR(VLOOKUP((AF$36&amp;"&amp;"&amp;$V51),'MASTER DATA'!$R:$X,7,FALSE)*AF$35*(VLOOKUP(AF$36,'MASTER DATA'!$AG:$AH,2,FALSE)),0),IFERROR(VLOOKUP((AF$36&amp;"&amp;"&amp;$V51),'MASTER DATA'!$R:$X,7,FALSE)*AF$34*(VLOOKUP(AF$36,'MASTER DATA'!$AG:$AH,2,FALSE)),0))</f>
        <v>0</v>
      </c>
      <c r="AG51" s="60">
        <f t="shared" si="23"/>
        <v>0</v>
      </c>
      <c r="AH51" s="38"/>
      <c r="AI51" s="60">
        <f>IF(AI$34="",IFERROR(VLOOKUP((AI$36&amp;"&amp;"&amp;$V51),'MASTER DATA'!$R:$X,7,FALSE)*AI$35*(VLOOKUP(AI$36,'MASTER DATA'!$AG:$AH,2,FALSE)),0),IFERROR(VLOOKUP((AI$36&amp;"&amp;"&amp;$V51),'MASTER DATA'!$R:$X,7,FALSE)*AI$34*(VLOOKUP(AI$36,'MASTER DATA'!$AG:$AH,2,FALSE)),0))</f>
        <v>0</v>
      </c>
      <c r="AJ51" s="60">
        <f t="shared" si="24"/>
        <v>0</v>
      </c>
      <c r="AK51" s="38"/>
      <c r="AL51" s="60">
        <f>IF(AL$34="",IFERROR(VLOOKUP((AL$36&amp;"&amp;"&amp;$V51),'MASTER DATA'!$R:$X,7,FALSE)*AL$35*(VLOOKUP(AL$36,'MASTER DATA'!$AG:$AH,2,FALSE)),0),IFERROR(VLOOKUP((AL$36&amp;"&amp;"&amp;$V51),'MASTER DATA'!$R:$X,7,FALSE)*AL$34*(VLOOKUP(AL$36,'MASTER DATA'!$AG:$AH,2,FALSE)),0))</f>
        <v>0</v>
      </c>
      <c r="AM51" s="60">
        <f t="shared" si="25"/>
        <v>0</v>
      </c>
      <c r="AN51" s="38"/>
      <c r="AO51" s="60">
        <f>IF(AO$34="",IFERROR(VLOOKUP((AO$36&amp;"&amp;"&amp;$V51),'MASTER DATA'!$R:$X,7,FALSE)*AO$35*(VLOOKUP(AO$36,'MASTER DATA'!$AG:$AH,2,FALSE)),0),IFERROR(VLOOKUP((AO$36&amp;"&amp;"&amp;$V51),'MASTER DATA'!$R:$X,7,FALSE)*AO$34*(VLOOKUP(AO$36,'MASTER DATA'!$AG:$AH,2,FALSE)),0))</f>
        <v>0</v>
      </c>
      <c r="AP51" s="60">
        <f t="shared" si="26"/>
        <v>0</v>
      </c>
      <c r="AQ51" s="38"/>
      <c r="AR51" s="60">
        <f>IF(AR$34="",IFERROR(VLOOKUP((AR$36&amp;"&amp;"&amp;$V51),'MASTER DATA'!$R:$X,7,FALSE)*AR$35*(VLOOKUP(AR$36,'MASTER DATA'!$AG:$AH,2,FALSE)),0),IFERROR(VLOOKUP((AR$36&amp;"&amp;"&amp;$V51),'MASTER DATA'!$R:$X,7,FALSE)*AR$34*(VLOOKUP(AR$36,'MASTER DATA'!$AG:$AH,2,FALSE)),0))</f>
        <v>0</v>
      </c>
      <c r="AS51" s="60">
        <f t="shared" si="27"/>
        <v>0</v>
      </c>
      <c r="AT51" s="38"/>
      <c r="AU51" s="60">
        <f>IF(AU$34="",IFERROR(VLOOKUP((AU$36&amp;"&amp;"&amp;$V51),'MASTER DATA'!$R:$X,7,FALSE)*AU$35*(VLOOKUP(AU$36,'MASTER DATA'!$AG:$AH,2,FALSE)),0),IFERROR(VLOOKUP((AU$36&amp;"&amp;"&amp;$V51),'MASTER DATA'!$R:$X,7,FALSE)*AU$34*(VLOOKUP(AU$36,'MASTER DATA'!$AG:$AH,2,FALSE)),0))</f>
        <v>0</v>
      </c>
      <c r="AV51" s="60">
        <f t="shared" si="28"/>
        <v>0</v>
      </c>
      <c r="AW51" s="60"/>
      <c r="AX51" s="60">
        <f>IF(AX$34="",IFERROR(VLOOKUP((AX$36&amp;"&amp;"&amp;$V51),'MASTER DATA'!$R:$X,7,FALSE)*AX$35*(VLOOKUP(AX$36,'MASTER DATA'!$AG:$AH,2,FALSE)),0),IFERROR(VLOOKUP((AX$36&amp;"&amp;"&amp;$V51),'MASTER DATA'!$R:$X,7,FALSE)*AX$34*(VLOOKUP(AX$36,'MASTER DATA'!$AG:$AH,2,FALSE)),0))</f>
        <v>0</v>
      </c>
      <c r="AY51" s="60">
        <f t="shared" si="29"/>
        <v>0</v>
      </c>
    </row>
    <row r="52" spans="1:51" x14ac:dyDescent="0.25">
      <c r="A52" s="71"/>
      <c r="B52" s="38"/>
      <c r="C52" s="211" t="s">
        <v>20</v>
      </c>
      <c r="D52" s="211" t="s">
        <v>21</v>
      </c>
      <c r="E52" s="212">
        <v>5.2337600000000002</v>
      </c>
      <c r="F52" s="212">
        <v>0.56766000000000005</v>
      </c>
      <c r="G52" s="211">
        <v>7</v>
      </c>
      <c r="H52" s="39">
        <f t="shared" si="12"/>
        <v>1.4090892307692306</v>
      </c>
      <c r="I52" s="39"/>
      <c r="J52" s="38">
        <v>0</v>
      </c>
      <c r="K52" s="38">
        <v>0</v>
      </c>
      <c r="L52" s="40">
        <f t="shared" si="18"/>
        <v>6.0751892307692312</v>
      </c>
      <c r="M52" s="40">
        <f t="shared" si="14"/>
        <v>0.23366112426035504</v>
      </c>
      <c r="N52" s="41">
        <f>VLOOKUP(C52,'MASTER DATA'!B:D,3,0)</f>
        <v>0.9</v>
      </c>
      <c r="O52" s="77">
        <f t="shared" si="15"/>
        <v>259.62347140039452</v>
      </c>
      <c r="P52" s="42">
        <f t="shared" si="16"/>
        <v>1.4090892307692311</v>
      </c>
      <c r="Q52" s="77">
        <f t="shared" si="17"/>
        <v>7.0000000000000018</v>
      </c>
      <c r="R52" s="38"/>
      <c r="S52" s="38"/>
      <c r="U52" s="27">
        <v>1.4</v>
      </c>
      <c r="V52" s="24" t="s">
        <v>78</v>
      </c>
      <c r="W52" s="19"/>
      <c r="X52" s="19">
        <f t="shared" si="21"/>
        <v>0</v>
      </c>
      <c r="Y52" s="19"/>
      <c r="Z52" s="19"/>
      <c r="AA52" s="19">
        <f t="shared" si="22"/>
        <v>0</v>
      </c>
      <c r="AB52" s="38"/>
      <c r="AC52" s="60">
        <f>IF(AC$34="",IFERROR(VLOOKUP((AC$36&amp;"&amp;"&amp;$V52),'MASTER DATA'!$R:$X,7,FALSE)*AC$35*(VLOOKUP(AC$36,'MASTER DATA'!$AG:$AH,2,FALSE)),0),IFERROR(VLOOKUP((AC$36&amp;"&amp;"&amp;$V52),'MASTER DATA'!$R:$X,7,FALSE)*AC$34*(VLOOKUP(AC$36,'MASTER DATA'!$AG:$AH,2,FALSE)),0))</f>
        <v>0</v>
      </c>
      <c r="AD52" s="60">
        <f t="shared" si="20"/>
        <v>0</v>
      </c>
      <c r="AE52" s="38"/>
      <c r="AF52" s="60">
        <f>IF(AF$34="",IFERROR(VLOOKUP((AF$36&amp;"&amp;"&amp;$V52),'MASTER DATA'!$R:$X,7,FALSE)*AF$35*(VLOOKUP(AF$36,'MASTER DATA'!$AG:$AH,2,FALSE)),0),IFERROR(VLOOKUP((AF$36&amp;"&amp;"&amp;$V52),'MASTER DATA'!$R:$X,7,FALSE)*AF$34*(VLOOKUP(AF$36,'MASTER DATA'!$AG:$AH,2,FALSE)),0))</f>
        <v>0</v>
      </c>
      <c r="AG52" s="60">
        <f t="shared" si="23"/>
        <v>0</v>
      </c>
      <c r="AH52" s="38"/>
      <c r="AI52" s="60">
        <f>IF(AI$34="",IFERROR(VLOOKUP((AI$36&amp;"&amp;"&amp;$V52),'MASTER DATA'!$R:$X,7,FALSE)*AI$35*(VLOOKUP(AI$36,'MASTER DATA'!$AG:$AH,2,FALSE)),0),IFERROR(VLOOKUP((AI$36&amp;"&amp;"&amp;$V52),'MASTER DATA'!$R:$X,7,FALSE)*AI$34*(VLOOKUP(AI$36,'MASTER DATA'!$AG:$AH,2,FALSE)),0))</f>
        <v>0</v>
      </c>
      <c r="AJ52" s="60">
        <f t="shared" si="24"/>
        <v>0</v>
      </c>
      <c r="AK52" s="38"/>
      <c r="AL52" s="60">
        <f>IF(AL$34="",IFERROR(VLOOKUP((AL$36&amp;"&amp;"&amp;$V52),'MASTER DATA'!$R:$X,7,FALSE)*AL$35*(VLOOKUP(AL$36,'MASTER DATA'!$AG:$AH,2,FALSE)),0),IFERROR(VLOOKUP((AL$36&amp;"&amp;"&amp;$V52),'MASTER DATA'!$R:$X,7,FALSE)*AL$34*(VLOOKUP(AL$36,'MASTER DATA'!$AG:$AH,2,FALSE)),0))</f>
        <v>0</v>
      </c>
      <c r="AM52" s="60">
        <f t="shared" si="25"/>
        <v>0</v>
      </c>
      <c r="AN52" s="38"/>
      <c r="AO52" s="60">
        <f>IF(AO$34="",IFERROR(VLOOKUP((AO$36&amp;"&amp;"&amp;$V52),'MASTER DATA'!$R:$X,7,FALSE)*AO$35*(VLOOKUP(AO$36,'MASTER DATA'!$AG:$AH,2,FALSE)),0),IFERROR(VLOOKUP((AO$36&amp;"&amp;"&amp;$V52),'MASTER DATA'!$R:$X,7,FALSE)*AO$34*(VLOOKUP(AO$36,'MASTER DATA'!$AG:$AH,2,FALSE)),0))</f>
        <v>0</v>
      </c>
      <c r="AP52" s="60">
        <f t="shared" si="26"/>
        <v>0</v>
      </c>
      <c r="AQ52" s="38"/>
      <c r="AR52" s="60">
        <f>IF(AR$34="",IFERROR(VLOOKUP((AR$36&amp;"&amp;"&amp;$V52),'MASTER DATA'!$R:$X,7,FALSE)*AR$35*(VLOOKUP(AR$36,'MASTER DATA'!$AG:$AH,2,FALSE)),0),IFERROR(VLOOKUP((AR$36&amp;"&amp;"&amp;$V52),'MASTER DATA'!$R:$X,7,FALSE)*AR$34*(VLOOKUP(AR$36,'MASTER DATA'!$AG:$AH,2,FALSE)),0))</f>
        <v>0</v>
      </c>
      <c r="AS52" s="60">
        <f t="shared" si="27"/>
        <v>0</v>
      </c>
      <c r="AT52" s="38"/>
      <c r="AU52" s="60">
        <f>IF(AU$34="",IFERROR(VLOOKUP((AU$36&amp;"&amp;"&amp;$V52),'MASTER DATA'!$R:$X,7,FALSE)*AU$35*(VLOOKUP(AU$36,'MASTER DATA'!$AG:$AH,2,FALSE)),0),IFERROR(VLOOKUP((AU$36&amp;"&amp;"&amp;$V52),'MASTER DATA'!$R:$X,7,FALSE)*AU$34*(VLOOKUP(AU$36,'MASTER DATA'!$AG:$AH,2,FALSE)),0))</f>
        <v>0</v>
      </c>
      <c r="AV52" s="60">
        <f t="shared" si="28"/>
        <v>0</v>
      </c>
      <c r="AW52" s="60"/>
      <c r="AX52" s="60">
        <f>IF(AX$34="",IFERROR(VLOOKUP((AX$36&amp;"&amp;"&amp;$V52),'MASTER DATA'!$R:$X,7,FALSE)*AX$35*(VLOOKUP(AX$36,'MASTER DATA'!$AG:$AH,2,FALSE)),0),IFERROR(VLOOKUP((AX$36&amp;"&amp;"&amp;$V52),'MASTER DATA'!$R:$X,7,FALSE)*AX$34*(VLOOKUP(AX$36,'MASTER DATA'!$AG:$AH,2,FALSE)),0))</f>
        <v>0</v>
      </c>
      <c r="AY52" s="60">
        <f t="shared" si="29"/>
        <v>0</v>
      </c>
    </row>
    <row r="53" spans="1:51" x14ac:dyDescent="0.25">
      <c r="A53" s="71"/>
      <c r="B53" s="38"/>
      <c r="C53" s="211" t="s">
        <v>18</v>
      </c>
      <c r="D53" s="211" t="s">
        <v>19</v>
      </c>
      <c r="E53" s="212">
        <v>1.8121400000000001</v>
      </c>
      <c r="F53" s="212">
        <v>1.45672</v>
      </c>
      <c r="G53" s="211">
        <v>7</v>
      </c>
      <c r="H53" s="39">
        <f t="shared" si="12"/>
        <v>0.48788384615384617</v>
      </c>
      <c r="I53" s="39"/>
      <c r="J53" s="38">
        <v>0</v>
      </c>
      <c r="K53" s="38">
        <v>0</v>
      </c>
      <c r="L53" s="40">
        <f t="shared" si="18"/>
        <v>0.84330384615384624</v>
      </c>
      <c r="M53" s="40">
        <f t="shared" si="14"/>
        <v>3.243476331360947E-2</v>
      </c>
      <c r="N53" s="41">
        <f>VLOOKUP(C53,'MASTER DATA'!B:D,3,0)</f>
        <v>1.1000000000000001</v>
      </c>
      <c r="O53" s="77">
        <f t="shared" si="15"/>
        <v>29.486148466917701</v>
      </c>
      <c r="P53" s="42">
        <f t="shared" si="16"/>
        <v>0.48788384615384595</v>
      </c>
      <c r="Q53" s="77">
        <f t="shared" si="17"/>
        <v>6.9999999999999973</v>
      </c>
      <c r="R53" s="38"/>
      <c r="S53" s="38"/>
      <c r="U53" s="27">
        <v>1.5</v>
      </c>
      <c r="V53" s="18" t="s">
        <v>79</v>
      </c>
      <c r="W53" s="19"/>
      <c r="X53" s="19">
        <f t="shared" si="21"/>
        <v>0</v>
      </c>
      <c r="Y53" s="19"/>
      <c r="Z53" s="19"/>
      <c r="AA53" s="19">
        <f t="shared" si="22"/>
        <v>0</v>
      </c>
      <c r="AB53" s="38"/>
      <c r="AC53" s="60">
        <f>IF(AC$34="",IFERROR(VLOOKUP((AC$36&amp;"&amp;"&amp;$V53),'MASTER DATA'!$R:$X,7,FALSE)*AC$35*(VLOOKUP(AC$36,'MASTER DATA'!$AG:$AH,2,FALSE)),0),IFERROR(VLOOKUP((AC$36&amp;"&amp;"&amp;$V53),'MASTER DATA'!$R:$X,7,FALSE)*AC$34*(VLOOKUP(AC$36,'MASTER DATA'!$AG:$AH,2,FALSE)),0))</f>
        <v>0</v>
      </c>
      <c r="AD53" s="60">
        <f t="shared" si="20"/>
        <v>0</v>
      </c>
      <c r="AE53" s="38"/>
      <c r="AF53" s="60">
        <f>IF(AF$34="",IFERROR(VLOOKUP((AF$36&amp;"&amp;"&amp;$V53),'MASTER DATA'!$R:$X,7,FALSE)*AF$35*(VLOOKUP(AF$36,'MASTER DATA'!$AG:$AH,2,FALSE)),0),IFERROR(VLOOKUP((AF$36&amp;"&amp;"&amp;$V53),'MASTER DATA'!$R:$X,7,FALSE)*AF$34*(VLOOKUP(AF$36,'MASTER DATA'!$AG:$AH,2,FALSE)),0))</f>
        <v>0</v>
      </c>
      <c r="AG53" s="60">
        <f t="shared" si="23"/>
        <v>0</v>
      </c>
      <c r="AH53" s="38"/>
      <c r="AI53" s="60">
        <f>IF(AI$34="",IFERROR(VLOOKUP((AI$36&amp;"&amp;"&amp;$V53),'MASTER DATA'!$R:$X,7,FALSE)*AI$35*(VLOOKUP(AI$36,'MASTER DATA'!$AG:$AH,2,FALSE)),0),IFERROR(VLOOKUP((AI$36&amp;"&amp;"&amp;$V53),'MASTER DATA'!$R:$X,7,FALSE)*AI$34*(VLOOKUP(AI$36,'MASTER DATA'!$AG:$AH,2,FALSE)),0))</f>
        <v>0</v>
      </c>
      <c r="AJ53" s="60">
        <f t="shared" si="24"/>
        <v>0</v>
      </c>
      <c r="AK53" s="38"/>
      <c r="AL53" s="60">
        <f>IF(AL$34="",IFERROR(VLOOKUP((AL$36&amp;"&amp;"&amp;$V53),'MASTER DATA'!$R:$X,7,FALSE)*AL$35*(VLOOKUP(AL$36,'MASTER DATA'!$AG:$AH,2,FALSE)),0),IFERROR(VLOOKUP((AL$36&amp;"&amp;"&amp;$V53),'MASTER DATA'!$R:$X,7,FALSE)*AL$34*(VLOOKUP(AL$36,'MASTER DATA'!$AG:$AH,2,FALSE)),0))</f>
        <v>0</v>
      </c>
      <c r="AM53" s="60">
        <f t="shared" si="25"/>
        <v>0</v>
      </c>
      <c r="AN53" s="38"/>
      <c r="AO53" s="60">
        <f>IF(AO$34="",IFERROR(VLOOKUP((AO$36&amp;"&amp;"&amp;$V53),'MASTER DATA'!$R:$X,7,FALSE)*AO$35*(VLOOKUP(AO$36,'MASTER DATA'!$AG:$AH,2,FALSE)),0),IFERROR(VLOOKUP((AO$36&amp;"&amp;"&amp;$V53),'MASTER DATA'!$R:$X,7,FALSE)*AO$34*(VLOOKUP(AO$36,'MASTER DATA'!$AG:$AH,2,FALSE)),0))</f>
        <v>0</v>
      </c>
      <c r="AP53" s="60">
        <f t="shared" si="26"/>
        <v>0</v>
      </c>
      <c r="AQ53" s="38"/>
      <c r="AR53" s="60">
        <f>IF(AR$34="",IFERROR(VLOOKUP((AR$36&amp;"&amp;"&amp;$V53),'MASTER DATA'!$R:$X,7,FALSE)*AR$35*(VLOOKUP(AR$36,'MASTER DATA'!$AG:$AH,2,FALSE)),0),IFERROR(VLOOKUP((AR$36&amp;"&amp;"&amp;$V53),'MASTER DATA'!$R:$X,7,FALSE)*AR$34*(VLOOKUP(AR$36,'MASTER DATA'!$AG:$AH,2,FALSE)),0))</f>
        <v>0</v>
      </c>
      <c r="AS53" s="60">
        <f t="shared" si="27"/>
        <v>0</v>
      </c>
      <c r="AT53" s="38"/>
      <c r="AU53" s="60">
        <f>IF(AU$34="",IFERROR(VLOOKUP((AU$36&amp;"&amp;"&amp;$V53),'MASTER DATA'!$R:$X,7,FALSE)*AU$35*(VLOOKUP(AU$36,'MASTER DATA'!$AG:$AH,2,FALSE)),0),IFERROR(VLOOKUP((AU$36&amp;"&amp;"&amp;$V53),'MASTER DATA'!$R:$X,7,FALSE)*AU$34*(VLOOKUP(AU$36,'MASTER DATA'!$AG:$AH,2,FALSE)),0))</f>
        <v>0</v>
      </c>
      <c r="AV53" s="60">
        <f t="shared" si="28"/>
        <v>0</v>
      </c>
      <c r="AW53" s="60"/>
      <c r="AX53" s="60">
        <f>IF(AX$34="",IFERROR(VLOOKUP((AX$36&amp;"&amp;"&amp;$V53),'MASTER DATA'!$R:$X,7,FALSE)*AX$35*(VLOOKUP(AX$36,'MASTER DATA'!$AG:$AH,2,FALSE)),0),IFERROR(VLOOKUP((AX$36&amp;"&amp;"&amp;$V53),'MASTER DATA'!$R:$X,7,FALSE)*AX$34*(VLOOKUP(AX$36,'MASTER DATA'!$AG:$AH,2,FALSE)),0))</f>
        <v>0</v>
      </c>
      <c r="AY53" s="60">
        <f t="shared" si="29"/>
        <v>0</v>
      </c>
    </row>
    <row r="54" spans="1:51" x14ac:dyDescent="0.25">
      <c r="A54" s="71"/>
      <c r="B54" s="38"/>
      <c r="C54" s="211" t="s">
        <v>404</v>
      </c>
      <c r="D54" s="211" t="s">
        <v>405</v>
      </c>
      <c r="E54" s="212">
        <v>173.3</v>
      </c>
      <c r="F54" s="212">
        <v>55.402560000000001</v>
      </c>
      <c r="G54" s="211">
        <v>14</v>
      </c>
      <c r="H54" s="39">
        <f t="shared" si="12"/>
        <v>93.315384615384616</v>
      </c>
      <c r="I54" s="39"/>
      <c r="J54" s="38">
        <v>0</v>
      </c>
      <c r="K54" s="38">
        <v>0</v>
      </c>
      <c r="L54" s="40">
        <f t="shared" si="18"/>
        <v>211.21282461538465</v>
      </c>
      <c r="M54" s="40">
        <f t="shared" si="14"/>
        <v>8.1235701775147948</v>
      </c>
      <c r="N54" s="41">
        <f>VLOOKUP(C54,'MASTER DATA'!B:D,3,0)</f>
        <v>1.2</v>
      </c>
      <c r="O54" s="77">
        <f t="shared" si="15"/>
        <v>6769.6418145956623</v>
      </c>
      <c r="P54" s="42">
        <f t="shared" si="16"/>
        <v>93.31538461538463</v>
      </c>
      <c r="Q54" s="77">
        <f t="shared" si="17"/>
        <v>14.000000000000002</v>
      </c>
      <c r="R54" s="38"/>
      <c r="S54" s="38"/>
      <c r="U54" s="27">
        <v>1.6</v>
      </c>
      <c r="V54" s="24" t="s">
        <v>339</v>
      </c>
      <c r="W54" s="19"/>
      <c r="X54" s="19">
        <f t="shared" si="21"/>
        <v>0</v>
      </c>
      <c r="Y54" s="19"/>
      <c r="Z54" s="19"/>
      <c r="AA54" s="19">
        <f t="shared" si="22"/>
        <v>0</v>
      </c>
      <c r="AB54" s="38"/>
      <c r="AC54" s="60">
        <f>IF(AC$34="",IFERROR(VLOOKUP((AC$36&amp;"&amp;"&amp;$V54),'MASTER DATA'!$R:$X,7,FALSE)*AC$35*(VLOOKUP(AC$36,'MASTER DATA'!$AG:$AH,2,FALSE)),0),IFERROR(VLOOKUP((AC$36&amp;"&amp;"&amp;$V54),'MASTER DATA'!$R:$X,7,FALSE)*AC$34*(VLOOKUP(AC$36,'MASTER DATA'!$AG:$AH,2,FALSE)),0))</f>
        <v>0</v>
      </c>
      <c r="AD54" s="60">
        <f t="shared" si="20"/>
        <v>0</v>
      </c>
      <c r="AE54" s="38"/>
      <c r="AF54" s="60">
        <f>IF(AF$34="",IFERROR(VLOOKUP((AF$36&amp;"&amp;"&amp;$V54),'MASTER DATA'!$R:$X,7,FALSE)*AF$35*(VLOOKUP(AF$36,'MASTER DATA'!$AG:$AH,2,FALSE)),0),IFERROR(VLOOKUP((AF$36&amp;"&amp;"&amp;$V54),'MASTER DATA'!$R:$X,7,FALSE)*AF$34*(VLOOKUP(AF$36,'MASTER DATA'!$AG:$AH,2,FALSE)),0))</f>
        <v>0</v>
      </c>
      <c r="AG54" s="60">
        <f t="shared" si="23"/>
        <v>0</v>
      </c>
      <c r="AH54" s="38"/>
      <c r="AI54" s="60">
        <f>IF(AI$34="",IFERROR(VLOOKUP((AI$36&amp;"&amp;"&amp;$V54),'MASTER DATA'!$R:$X,7,FALSE)*AI$35*(VLOOKUP(AI$36,'MASTER DATA'!$AG:$AH,2,FALSE)),0),IFERROR(VLOOKUP((AI$36&amp;"&amp;"&amp;$V54),'MASTER DATA'!$R:$X,7,FALSE)*AI$34*(VLOOKUP(AI$36,'MASTER DATA'!$AG:$AH,2,FALSE)),0))</f>
        <v>0</v>
      </c>
      <c r="AJ54" s="60">
        <f t="shared" si="24"/>
        <v>0</v>
      </c>
      <c r="AK54" s="38"/>
      <c r="AL54" s="60">
        <f>IF(AL$34="",IFERROR(VLOOKUP((AL$36&amp;"&amp;"&amp;$V54),'MASTER DATA'!$R:$X,7,FALSE)*AL$35*(VLOOKUP(AL$36,'MASTER DATA'!$AG:$AH,2,FALSE)),0),IFERROR(VLOOKUP((AL$36&amp;"&amp;"&amp;$V54),'MASTER DATA'!$R:$X,7,FALSE)*AL$34*(VLOOKUP(AL$36,'MASTER DATA'!$AG:$AH,2,FALSE)),0))</f>
        <v>0</v>
      </c>
      <c r="AM54" s="60">
        <f t="shared" si="25"/>
        <v>0</v>
      </c>
      <c r="AN54" s="38"/>
      <c r="AO54" s="60">
        <f>IF(AO$34="",IFERROR(VLOOKUP((AO$36&amp;"&amp;"&amp;$V54),'MASTER DATA'!$R:$X,7,FALSE)*AO$35*(VLOOKUP(AO$36,'MASTER DATA'!$AG:$AH,2,FALSE)),0),IFERROR(VLOOKUP((AO$36&amp;"&amp;"&amp;$V54),'MASTER DATA'!$R:$X,7,FALSE)*AO$34*(VLOOKUP(AO$36,'MASTER DATA'!$AG:$AH,2,FALSE)),0))</f>
        <v>0</v>
      </c>
      <c r="AP54" s="60">
        <f t="shared" si="26"/>
        <v>0</v>
      </c>
      <c r="AQ54" s="38"/>
      <c r="AR54" s="60">
        <f>IF(AR$34="",IFERROR(VLOOKUP((AR$36&amp;"&amp;"&amp;$V54),'MASTER DATA'!$R:$X,7,FALSE)*AR$35*(VLOOKUP(AR$36,'MASTER DATA'!$AG:$AH,2,FALSE)),0),IFERROR(VLOOKUP((AR$36&amp;"&amp;"&amp;$V54),'MASTER DATA'!$R:$X,7,FALSE)*AR$34*(VLOOKUP(AR$36,'MASTER DATA'!$AG:$AH,2,FALSE)),0))</f>
        <v>0</v>
      </c>
      <c r="AS54" s="60">
        <f t="shared" si="27"/>
        <v>0</v>
      </c>
      <c r="AT54" s="38"/>
      <c r="AU54" s="60">
        <f>IF(AU$34="",IFERROR(VLOOKUP((AU$36&amp;"&amp;"&amp;$V54),'MASTER DATA'!$R:$X,7,FALSE)*AU$35*(VLOOKUP(AU$36,'MASTER DATA'!$AG:$AH,2,FALSE)),0),IFERROR(VLOOKUP((AU$36&amp;"&amp;"&amp;$V54),'MASTER DATA'!$R:$X,7,FALSE)*AU$34*(VLOOKUP(AU$36,'MASTER DATA'!$AG:$AH,2,FALSE)),0))</f>
        <v>0</v>
      </c>
      <c r="AV54" s="60">
        <f t="shared" si="28"/>
        <v>0</v>
      </c>
      <c r="AW54" s="60"/>
      <c r="AX54" s="60">
        <f>IF(AX$34="",IFERROR(VLOOKUP((AX$36&amp;"&amp;"&amp;$V54),'MASTER DATA'!$R:$X,7,FALSE)*AX$35*(VLOOKUP(AX$36,'MASTER DATA'!$AG:$AH,2,FALSE)),0),IFERROR(VLOOKUP((AX$36&amp;"&amp;"&amp;$V54),'MASTER DATA'!$R:$X,7,FALSE)*AX$34*(VLOOKUP(AX$36,'MASTER DATA'!$AG:$AH,2,FALSE)),0))</f>
        <v>0</v>
      </c>
      <c r="AY54" s="60">
        <f t="shared" si="29"/>
        <v>0</v>
      </c>
    </row>
    <row r="55" spans="1:51" x14ac:dyDescent="0.25">
      <c r="A55" s="71"/>
      <c r="B55" s="38"/>
      <c r="C55" s="211" t="s">
        <v>26</v>
      </c>
      <c r="D55" s="211" t="s">
        <v>27</v>
      </c>
      <c r="E55" s="212">
        <v>7.4980400000000005</v>
      </c>
      <c r="F55" s="212">
        <v>1.3352999999999999</v>
      </c>
      <c r="G55" s="211">
        <v>7</v>
      </c>
      <c r="H55" s="39">
        <f t="shared" si="12"/>
        <v>2.0187030769230772</v>
      </c>
      <c r="I55" s="39"/>
      <c r="J55" s="38">
        <v>0</v>
      </c>
      <c r="K55" s="38">
        <v>0</v>
      </c>
      <c r="L55" s="40">
        <f t="shared" si="18"/>
        <v>8.1814430769230775</v>
      </c>
      <c r="M55" s="40">
        <f t="shared" si="14"/>
        <v>0.3146708875739645</v>
      </c>
      <c r="N55" s="41">
        <f>VLOOKUP(C55,'MASTER DATA'!B:D,3,0)</f>
        <v>0.8</v>
      </c>
      <c r="O55" s="77">
        <f t="shared" si="15"/>
        <v>393.33860946745557</v>
      </c>
      <c r="P55" s="42">
        <f t="shared" si="16"/>
        <v>2.0187030769230772</v>
      </c>
      <c r="Q55" s="77">
        <f t="shared" si="17"/>
        <v>7.0000000000000009</v>
      </c>
      <c r="R55" s="38"/>
      <c r="S55" s="38"/>
      <c r="U55" s="31">
        <v>1.7</v>
      </c>
      <c r="V55" s="24" t="s">
        <v>81</v>
      </c>
      <c r="W55" s="19"/>
      <c r="X55" s="19">
        <f t="shared" si="21"/>
        <v>0</v>
      </c>
      <c r="Y55" s="19"/>
      <c r="Z55" s="19"/>
      <c r="AA55" s="19">
        <f t="shared" si="22"/>
        <v>0</v>
      </c>
      <c r="AB55" s="38"/>
      <c r="AC55" s="60">
        <f>IF(AC$34="",IFERROR(VLOOKUP((AC$36&amp;"&amp;"&amp;$V55),'MASTER DATA'!$R:$X,7,FALSE)*AC$35*(VLOOKUP(AC$36,'MASTER DATA'!$AG:$AH,2,FALSE)),0),IFERROR(VLOOKUP((AC$36&amp;"&amp;"&amp;$V55),'MASTER DATA'!$R:$X,7,FALSE)*AC$34*(VLOOKUP(AC$36,'MASTER DATA'!$AG:$AH,2,FALSE)),0))</f>
        <v>0</v>
      </c>
      <c r="AD55" s="60">
        <f t="shared" si="20"/>
        <v>0</v>
      </c>
      <c r="AE55" s="38"/>
      <c r="AF55" s="60">
        <f>IF(AF$34="",IFERROR(VLOOKUP((AF$36&amp;"&amp;"&amp;$V55),'MASTER DATA'!$R:$X,7,FALSE)*AF$35*(VLOOKUP(AF$36,'MASTER DATA'!$AG:$AH,2,FALSE)),0),IFERROR(VLOOKUP((AF$36&amp;"&amp;"&amp;$V55),'MASTER DATA'!$R:$X,7,FALSE)*AF$34*(VLOOKUP(AF$36,'MASTER DATA'!$AG:$AH,2,FALSE)),0))</f>
        <v>0</v>
      </c>
      <c r="AG55" s="60">
        <f t="shared" si="23"/>
        <v>0</v>
      </c>
      <c r="AH55" s="38"/>
      <c r="AI55" s="60">
        <f>IF(AI$34="",IFERROR(VLOOKUP((AI$36&amp;"&amp;"&amp;$V55),'MASTER DATA'!$R:$X,7,FALSE)*AI$35*(VLOOKUP(AI$36,'MASTER DATA'!$AG:$AH,2,FALSE)),0),IFERROR(VLOOKUP((AI$36&amp;"&amp;"&amp;$V55),'MASTER DATA'!$R:$X,7,FALSE)*AI$34*(VLOOKUP(AI$36,'MASTER DATA'!$AG:$AH,2,FALSE)),0))</f>
        <v>0</v>
      </c>
      <c r="AJ55" s="60">
        <f t="shared" si="24"/>
        <v>0</v>
      </c>
      <c r="AK55" s="38"/>
      <c r="AL55" s="60">
        <f>IF(AL$34="",IFERROR(VLOOKUP((AL$36&amp;"&amp;"&amp;$V55),'MASTER DATA'!$R:$X,7,FALSE)*AL$35*(VLOOKUP(AL$36,'MASTER DATA'!$AG:$AH,2,FALSE)),0),IFERROR(VLOOKUP((AL$36&amp;"&amp;"&amp;$V55),'MASTER DATA'!$R:$X,7,FALSE)*AL$34*(VLOOKUP(AL$36,'MASTER DATA'!$AG:$AH,2,FALSE)),0))</f>
        <v>0</v>
      </c>
      <c r="AM55" s="60">
        <f t="shared" si="25"/>
        <v>0</v>
      </c>
      <c r="AN55" s="38"/>
      <c r="AO55" s="60">
        <f>IF(AO$34="",IFERROR(VLOOKUP((AO$36&amp;"&amp;"&amp;$V55),'MASTER DATA'!$R:$X,7,FALSE)*AO$35*(VLOOKUP(AO$36,'MASTER DATA'!$AG:$AH,2,FALSE)),0),IFERROR(VLOOKUP((AO$36&amp;"&amp;"&amp;$V55),'MASTER DATA'!$R:$X,7,FALSE)*AO$34*(VLOOKUP(AO$36,'MASTER DATA'!$AG:$AH,2,FALSE)),0))</f>
        <v>0</v>
      </c>
      <c r="AP55" s="60">
        <f t="shared" si="26"/>
        <v>0</v>
      </c>
      <c r="AQ55" s="38"/>
      <c r="AR55" s="60">
        <f>IF(AR$34="",IFERROR(VLOOKUP((AR$36&amp;"&amp;"&amp;$V55),'MASTER DATA'!$R:$X,7,FALSE)*AR$35*(VLOOKUP(AR$36,'MASTER DATA'!$AG:$AH,2,FALSE)),0),IFERROR(VLOOKUP((AR$36&amp;"&amp;"&amp;$V55),'MASTER DATA'!$R:$X,7,FALSE)*AR$34*(VLOOKUP(AR$36,'MASTER DATA'!$AG:$AH,2,FALSE)),0))</f>
        <v>0</v>
      </c>
      <c r="AS55" s="60">
        <f t="shared" si="27"/>
        <v>0</v>
      </c>
      <c r="AT55" s="38"/>
      <c r="AU55" s="60">
        <f>IF(AU$34="",IFERROR(VLOOKUP((AU$36&amp;"&amp;"&amp;$V55),'MASTER DATA'!$R:$X,7,FALSE)*AU$35*(VLOOKUP(AU$36,'MASTER DATA'!$AG:$AH,2,FALSE)),0),IFERROR(VLOOKUP((AU$36&amp;"&amp;"&amp;$V55),'MASTER DATA'!$R:$X,7,FALSE)*AU$34*(VLOOKUP(AU$36,'MASTER DATA'!$AG:$AH,2,FALSE)),0))</f>
        <v>0</v>
      </c>
      <c r="AV55" s="60">
        <f t="shared" si="28"/>
        <v>0</v>
      </c>
      <c r="AW55" s="60"/>
      <c r="AX55" s="60">
        <f>IF(AX$34="",IFERROR(VLOOKUP((AX$36&amp;"&amp;"&amp;$V55),'MASTER DATA'!$R:$X,7,FALSE)*AX$35*(VLOOKUP(AX$36,'MASTER DATA'!$AG:$AH,2,FALSE)),0),IFERROR(VLOOKUP((AX$36&amp;"&amp;"&amp;$V55),'MASTER DATA'!$R:$X,7,FALSE)*AX$34*(VLOOKUP(AX$36,'MASTER DATA'!$AG:$AH,2,FALSE)),0))</f>
        <v>0</v>
      </c>
      <c r="AY55" s="60">
        <f t="shared" si="29"/>
        <v>0</v>
      </c>
    </row>
    <row r="56" spans="1:51" x14ac:dyDescent="0.25">
      <c r="A56" s="71"/>
      <c r="B56" s="38"/>
      <c r="C56" s="211" t="s">
        <v>28</v>
      </c>
      <c r="D56" s="211" t="s">
        <v>29</v>
      </c>
      <c r="E56" s="212">
        <v>3.9516600000000004</v>
      </c>
      <c r="F56" s="212">
        <v>0.71582000000000001</v>
      </c>
      <c r="G56" s="211">
        <v>7</v>
      </c>
      <c r="H56" s="39">
        <f t="shared" si="12"/>
        <v>1.0639084615384617</v>
      </c>
      <c r="I56" s="39"/>
      <c r="J56" s="38">
        <v>0</v>
      </c>
      <c r="K56" s="38">
        <v>0</v>
      </c>
      <c r="L56" s="40">
        <f t="shared" si="18"/>
        <v>4.2997484615384618</v>
      </c>
      <c r="M56" s="40">
        <f t="shared" si="14"/>
        <v>0.16537494082840237</v>
      </c>
      <c r="N56" s="41">
        <f>VLOOKUP(C56,'MASTER DATA'!B:D,3,0)</f>
        <v>0.9</v>
      </c>
      <c r="O56" s="77">
        <f t="shared" si="15"/>
        <v>183.74993425378042</v>
      </c>
      <c r="P56" s="42">
        <f t="shared" si="16"/>
        <v>1.0639084615384613</v>
      </c>
      <c r="Q56" s="77">
        <f t="shared" si="17"/>
        <v>6.9999999999999973</v>
      </c>
      <c r="R56" s="38"/>
      <c r="S56" s="38"/>
      <c r="U56" s="35">
        <v>1.8</v>
      </c>
      <c r="V56" s="18" t="s">
        <v>82</v>
      </c>
      <c r="W56" s="19"/>
      <c r="X56" s="19">
        <f t="shared" si="21"/>
        <v>0</v>
      </c>
      <c r="Y56" s="19"/>
      <c r="Z56" s="19"/>
      <c r="AA56" s="19">
        <f t="shared" si="22"/>
        <v>0</v>
      </c>
      <c r="AB56" s="38"/>
      <c r="AC56" s="60">
        <f>IF(AC$34="",IFERROR(VLOOKUP((AC$36&amp;"&amp;"&amp;$V56),'MASTER DATA'!$R:$X,7,FALSE)*AC$35*(VLOOKUP(AC$36,'MASTER DATA'!$AG:$AH,2,FALSE)),0),IFERROR(VLOOKUP((AC$36&amp;"&amp;"&amp;$V56),'MASTER DATA'!$R:$X,7,FALSE)*AC$34*(VLOOKUP(AC$36,'MASTER DATA'!$AG:$AH,2,FALSE)),0))</f>
        <v>0</v>
      </c>
      <c r="AD56" s="60">
        <f t="shared" si="20"/>
        <v>0</v>
      </c>
      <c r="AE56" s="38"/>
      <c r="AF56" s="60">
        <f>IF(AF$34="",IFERROR(VLOOKUP((AF$36&amp;"&amp;"&amp;$V56),'MASTER DATA'!$R:$X,7,FALSE)*AF$35*(VLOOKUP(AF$36,'MASTER DATA'!$AG:$AH,2,FALSE)),0),IFERROR(VLOOKUP((AF$36&amp;"&amp;"&amp;$V56),'MASTER DATA'!$R:$X,7,FALSE)*AF$34*(VLOOKUP(AF$36,'MASTER DATA'!$AG:$AH,2,FALSE)),0))</f>
        <v>0</v>
      </c>
      <c r="AG56" s="60">
        <f t="shared" si="23"/>
        <v>0</v>
      </c>
      <c r="AH56" s="38"/>
      <c r="AI56" s="60">
        <f>IF(AI$34="",IFERROR(VLOOKUP((AI$36&amp;"&amp;"&amp;$V56),'MASTER DATA'!$R:$X,7,FALSE)*AI$35*(VLOOKUP(AI$36,'MASTER DATA'!$AG:$AH,2,FALSE)),0),IFERROR(VLOOKUP((AI$36&amp;"&amp;"&amp;$V56),'MASTER DATA'!$R:$X,7,FALSE)*AI$34*(VLOOKUP(AI$36,'MASTER DATA'!$AG:$AH,2,FALSE)),0))</f>
        <v>0</v>
      </c>
      <c r="AJ56" s="60">
        <f t="shared" si="24"/>
        <v>0</v>
      </c>
      <c r="AK56" s="38"/>
      <c r="AL56" s="60">
        <f>IF(AL$34="",IFERROR(VLOOKUP((AL$36&amp;"&amp;"&amp;$V56),'MASTER DATA'!$R:$X,7,FALSE)*AL$35*(VLOOKUP(AL$36,'MASTER DATA'!$AG:$AH,2,FALSE)),0),IFERROR(VLOOKUP((AL$36&amp;"&amp;"&amp;$V56),'MASTER DATA'!$R:$X,7,FALSE)*AL$34*(VLOOKUP(AL$36,'MASTER DATA'!$AG:$AH,2,FALSE)),0))</f>
        <v>0</v>
      </c>
      <c r="AM56" s="60">
        <f t="shared" si="25"/>
        <v>0</v>
      </c>
      <c r="AN56" s="38"/>
      <c r="AO56" s="60">
        <f>IF(AO$34="",IFERROR(VLOOKUP((AO$36&amp;"&amp;"&amp;$V56),'MASTER DATA'!$R:$X,7,FALSE)*AO$35*(VLOOKUP(AO$36,'MASTER DATA'!$AG:$AH,2,FALSE)),0),IFERROR(VLOOKUP((AO$36&amp;"&amp;"&amp;$V56),'MASTER DATA'!$R:$X,7,FALSE)*AO$34*(VLOOKUP(AO$36,'MASTER DATA'!$AG:$AH,2,FALSE)),0))</f>
        <v>0</v>
      </c>
      <c r="AP56" s="60">
        <f t="shared" si="26"/>
        <v>0</v>
      </c>
      <c r="AQ56" s="38"/>
      <c r="AR56" s="60">
        <f>IF(AR$34="",IFERROR(VLOOKUP((AR$36&amp;"&amp;"&amp;$V56),'MASTER DATA'!$R:$X,7,FALSE)*AR$35*(VLOOKUP(AR$36,'MASTER DATA'!$AG:$AH,2,FALSE)),0),IFERROR(VLOOKUP((AR$36&amp;"&amp;"&amp;$V56),'MASTER DATA'!$R:$X,7,FALSE)*AR$34*(VLOOKUP(AR$36,'MASTER DATA'!$AG:$AH,2,FALSE)),0))</f>
        <v>0</v>
      </c>
      <c r="AS56" s="60">
        <f t="shared" si="27"/>
        <v>0</v>
      </c>
      <c r="AT56" s="38"/>
      <c r="AU56" s="60">
        <f>IF(AU$34="",IFERROR(VLOOKUP((AU$36&amp;"&amp;"&amp;$V56),'MASTER DATA'!$R:$X,7,FALSE)*AU$35*(VLOOKUP(AU$36,'MASTER DATA'!$AG:$AH,2,FALSE)),0),IFERROR(VLOOKUP((AU$36&amp;"&amp;"&amp;$V56),'MASTER DATA'!$R:$X,7,FALSE)*AU$34*(VLOOKUP(AU$36,'MASTER DATA'!$AG:$AH,2,FALSE)),0))</f>
        <v>0</v>
      </c>
      <c r="AV56" s="60">
        <f t="shared" si="28"/>
        <v>0</v>
      </c>
      <c r="AW56" s="60"/>
      <c r="AX56" s="60">
        <f>IF(AX$34="",IFERROR(VLOOKUP((AX$36&amp;"&amp;"&amp;$V56),'MASTER DATA'!$R:$X,7,FALSE)*AX$35*(VLOOKUP(AX$36,'MASTER DATA'!$AG:$AH,2,FALSE)),0),IFERROR(VLOOKUP((AX$36&amp;"&amp;"&amp;$V56),'MASTER DATA'!$R:$X,7,FALSE)*AX$34*(VLOOKUP(AX$36,'MASTER DATA'!$AG:$AH,2,FALSE)),0))</f>
        <v>0</v>
      </c>
      <c r="AY56" s="60">
        <f t="shared" si="29"/>
        <v>0</v>
      </c>
    </row>
    <row r="57" spans="1:51" x14ac:dyDescent="0.25">
      <c r="A57" s="71"/>
      <c r="B57" s="38"/>
      <c r="C57" s="211" t="s">
        <v>406</v>
      </c>
      <c r="D57" s="211" t="s">
        <v>407</v>
      </c>
      <c r="E57" s="212">
        <v>1.5</v>
      </c>
      <c r="F57" s="212">
        <v>3.4340000000000002E-2</v>
      </c>
      <c r="G57" s="211">
        <v>7</v>
      </c>
      <c r="H57" s="39">
        <f t="shared" si="12"/>
        <v>0.40384615384615385</v>
      </c>
      <c r="I57" s="39"/>
      <c r="J57" s="38">
        <v>0</v>
      </c>
      <c r="K57" s="38">
        <v>0</v>
      </c>
      <c r="L57" s="40">
        <f t="shared" si="18"/>
        <v>1.8695061538461539</v>
      </c>
      <c r="M57" s="40">
        <f t="shared" si="14"/>
        <v>7.1904082840236694E-2</v>
      </c>
      <c r="N57" s="41">
        <f>VLOOKUP(C57,'MASTER DATA'!B:D,3,0)</f>
        <v>1.1000000000000001</v>
      </c>
      <c r="O57" s="77">
        <f t="shared" si="15"/>
        <v>65.367348036578804</v>
      </c>
      <c r="P57" s="42">
        <f t="shared" si="16"/>
        <v>0.40384615384615397</v>
      </c>
      <c r="Q57" s="77">
        <f t="shared" si="17"/>
        <v>7.0000000000000018</v>
      </c>
      <c r="R57" s="38"/>
      <c r="S57" s="38"/>
      <c r="U57" s="35">
        <v>1.9</v>
      </c>
      <c r="V57" s="24" t="s">
        <v>83</v>
      </c>
      <c r="W57" s="19"/>
      <c r="X57" s="19">
        <f t="shared" si="21"/>
        <v>0</v>
      </c>
      <c r="Y57" s="19"/>
      <c r="Z57" s="19"/>
      <c r="AA57" s="19">
        <f t="shared" si="22"/>
        <v>0</v>
      </c>
      <c r="AB57" s="38"/>
      <c r="AC57" s="60">
        <f>IF(AC$34="",IFERROR(VLOOKUP((AC$36&amp;"&amp;"&amp;$V57),'MASTER DATA'!$R:$X,7,FALSE)*AC$35*(VLOOKUP(AC$36,'MASTER DATA'!$AG:$AH,2,FALSE)),0),IFERROR(VLOOKUP((AC$36&amp;"&amp;"&amp;$V57),'MASTER DATA'!$R:$X,7,FALSE)*AC$34*(VLOOKUP(AC$36,'MASTER DATA'!$AG:$AH,2,FALSE)),0))</f>
        <v>0</v>
      </c>
      <c r="AD57" s="60">
        <f t="shared" si="20"/>
        <v>0</v>
      </c>
      <c r="AE57" s="38"/>
      <c r="AF57" s="60">
        <f>IF(AF$34="",IFERROR(VLOOKUP((AF$36&amp;"&amp;"&amp;$V57),'MASTER DATA'!$R:$X,7,FALSE)*AF$35*(VLOOKUP(AF$36,'MASTER DATA'!$AG:$AH,2,FALSE)),0),IFERROR(VLOOKUP((AF$36&amp;"&amp;"&amp;$V57),'MASTER DATA'!$R:$X,7,FALSE)*AF$34*(VLOOKUP(AF$36,'MASTER DATA'!$AG:$AH,2,FALSE)),0))</f>
        <v>0</v>
      </c>
      <c r="AG57" s="60">
        <f t="shared" si="23"/>
        <v>0</v>
      </c>
      <c r="AH57" s="38"/>
      <c r="AI57" s="60">
        <f>IF(AI$34="",IFERROR(VLOOKUP((AI$36&amp;"&amp;"&amp;$V57),'MASTER DATA'!$R:$X,7,FALSE)*AI$35*(VLOOKUP(AI$36,'MASTER DATA'!$AG:$AH,2,FALSE)),0),IFERROR(VLOOKUP((AI$36&amp;"&amp;"&amp;$V57),'MASTER DATA'!$R:$X,7,FALSE)*AI$34*(VLOOKUP(AI$36,'MASTER DATA'!$AG:$AH,2,FALSE)),0))</f>
        <v>0</v>
      </c>
      <c r="AJ57" s="60">
        <f t="shared" si="24"/>
        <v>0</v>
      </c>
      <c r="AK57" s="38"/>
      <c r="AL57" s="60">
        <f>IF(AL$34="",IFERROR(VLOOKUP((AL$36&amp;"&amp;"&amp;$V57),'MASTER DATA'!$R:$X,7,FALSE)*AL$35*(VLOOKUP(AL$36,'MASTER DATA'!$AG:$AH,2,FALSE)),0),IFERROR(VLOOKUP((AL$36&amp;"&amp;"&amp;$V57),'MASTER DATA'!$R:$X,7,FALSE)*AL$34*(VLOOKUP(AL$36,'MASTER DATA'!$AG:$AH,2,FALSE)),0))</f>
        <v>0</v>
      </c>
      <c r="AM57" s="60">
        <f t="shared" si="25"/>
        <v>0</v>
      </c>
      <c r="AN57" s="38"/>
      <c r="AO57" s="60">
        <f>IF(AO$34="",IFERROR(VLOOKUP((AO$36&amp;"&amp;"&amp;$V57),'MASTER DATA'!$R:$X,7,FALSE)*AO$35*(VLOOKUP(AO$36,'MASTER DATA'!$AG:$AH,2,FALSE)),0),IFERROR(VLOOKUP((AO$36&amp;"&amp;"&amp;$V57),'MASTER DATA'!$R:$X,7,FALSE)*AO$34*(VLOOKUP(AO$36,'MASTER DATA'!$AG:$AH,2,FALSE)),0))</f>
        <v>0</v>
      </c>
      <c r="AP57" s="60">
        <f t="shared" si="26"/>
        <v>0</v>
      </c>
      <c r="AQ57" s="38"/>
      <c r="AR57" s="60">
        <f>IF(AR$34="",IFERROR(VLOOKUP((AR$36&amp;"&amp;"&amp;$V57),'MASTER DATA'!$R:$X,7,FALSE)*AR$35*(VLOOKUP(AR$36,'MASTER DATA'!$AG:$AH,2,FALSE)),0),IFERROR(VLOOKUP((AR$36&amp;"&amp;"&amp;$V57),'MASTER DATA'!$R:$X,7,FALSE)*AR$34*(VLOOKUP(AR$36,'MASTER DATA'!$AG:$AH,2,FALSE)),0))</f>
        <v>0</v>
      </c>
      <c r="AS57" s="60">
        <f t="shared" si="27"/>
        <v>0</v>
      </c>
      <c r="AT57" s="38"/>
      <c r="AU57" s="60">
        <f>IF(AU$34="",IFERROR(VLOOKUP((AU$36&amp;"&amp;"&amp;$V57),'MASTER DATA'!$R:$X,7,FALSE)*AU$35*(VLOOKUP(AU$36,'MASTER DATA'!$AG:$AH,2,FALSE)),0),IFERROR(VLOOKUP((AU$36&amp;"&amp;"&amp;$V57),'MASTER DATA'!$R:$X,7,FALSE)*AU$34*(VLOOKUP(AU$36,'MASTER DATA'!$AG:$AH,2,FALSE)),0))</f>
        <v>0</v>
      </c>
      <c r="AV57" s="60">
        <f t="shared" si="28"/>
        <v>0</v>
      </c>
      <c r="AW57" s="60"/>
      <c r="AX57" s="60">
        <f>IF(AX$34="",IFERROR(VLOOKUP((AX$36&amp;"&amp;"&amp;$V57),'MASTER DATA'!$R:$X,7,FALSE)*AX$35*(VLOOKUP(AX$36,'MASTER DATA'!$AG:$AH,2,FALSE)),0),IFERROR(VLOOKUP((AX$36&amp;"&amp;"&amp;$V57),'MASTER DATA'!$R:$X,7,FALSE)*AX$34*(VLOOKUP(AX$36,'MASTER DATA'!$AG:$AH,2,FALSE)),0))</f>
        <v>0</v>
      </c>
      <c r="AY57" s="60">
        <f t="shared" si="29"/>
        <v>0</v>
      </c>
    </row>
    <row r="58" spans="1:51" x14ac:dyDescent="0.25">
      <c r="A58" s="71"/>
      <c r="B58" s="38"/>
      <c r="C58" s="211" t="s">
        <v>408</v>
      </c>
      <c r="D58" s="211" t="s">
        <v>409</v>
      </c>
      <c r="E58" s="212">
        <v>6</v>
      </c>
      <c r="F58" s="212">
        <v>0.85365999999999997</v>
      </c>
      <c r="G58" s="211">
        <v>7</v>
      </c>
      <c r="H58" s="39">
        <f t="shared" si="12"/>
        <v>1.6153846153846154</v>
      </c>
      <c r="I58" s="39"/>
      <c r="J58" s="38">
        <v>0</v>
      </c>
      <c r="K58" s="38">
        <v>0</v>
      </c>
      <c r="L58" s="40">
        <f t="shared" si="18"/>
        <v>6.7617246153846153</v>
      </c>
      <c r="M58" s="40">
        <f t="shared" si="14"/>
        <v>0.26006633136094676</v>
      </c>
      <c r="N58" s="41">
        <f>VLOOKUP(C58,'MASTER DATA'!B:D,3,0)</f>
        <v>1.1000000000000001</v>
      </c>
      <c r="O58" s="77">
        <f t="shared" si="15"/>
        <v>236.42393760086068</v>
      </c>
      <c r="P58" s="42">
        <f t="shared" si="16"/>
        <v>1.615384615384615</v>
      </c>
      <c r="Q58" s="77">
        <f t="shared" si="17"/>
        <v>6.9999999999999982</v>
      </c>
      <c r="R58" s="38"/>
      <c r="S58" s="38"/>
      <c r="U58" s="35">
        <v>2</v>
      </c>
      <c r="V58" s="24" t="s">
        <v>84</v>
      </c>
      <c r="W58" s="19"/>
      <c r="X58" s="19">
        <f t="shared" si="21"/>
        <v>0</v>
      </c>
      <c r="Y58" s="19"/>
      <c r="Z58" s="19"/>
      <c r="AA58" s="19">
        <f t="shared" si="22"/>
        <v>0</v>
      </c>
      <c r="AB58" s="38"/>
      <c r="AC58" s="60">
        <f>IF(AC$34="",IFERROR(VLOOKUP((AC$36&amp;"&amp;"&amp;$V58),'MASTER DATA'!$R:$X,7,FALSE)*AC$35*(VLOOKUP(AC$36,'MASTER DATA'!$AG:$AH,2,FALSE)),0),IFERROR(VLOOKUP((AC$36&amp;"&amp;"&amp;$V58),'MASTER DATA'!$R:$X,7,FALSE)*AC$34*(VLOOKUP(AC$36,'MASTER DATA'!$AG:$AH,2,FALSE)),0))</f>
        <v>0</v>
      </c>
      <c r="AD58" s="60">
        <f t="shared" si="20"/>
        <v>0</v>
      </c>
      <c r="AE58" s="38"/>
      <c r="AF58" s="60">
        <f>IF(AF$34="",IFERROR(VLOOKUP((AF$36&amp;"&amp;"&amp;$V58),'MASTER DATA'!$R:$X,7,FALSE)*AF$35*(VLOOKUP(AF$36,'MASTER DATA'!$AG:$AH,2,FALSE)),0),IFERROR(VLOOKUP((AF$36&amp;"&amp;"&amp;$V58),'MASTER DATA'!$R:$X,7,FALSE)*AF$34*(VLOOKUP(AF$36,'MASTER DATA'!$AG:$AH,2,FALSE)),0))</f>
        <v>0</v>
      </c>
      <c r="AG58" s="60">
        <f t="shared" si="23"/>
        <v>0</v>
      </c>
      <c r="AH58" s="38"/>
      <c r="AI58" s="60">
        <f>IF(AI$34="",IFERROR(VLOOKUP((AI$36&amp;"&amp;"&amp;$V58),'MASTER DATA'!$R:$X,7,FALSE)*AI$35*(VLOOKUP(AI$36,'MASTER DATA'!$AG:$AH,2,FALSE)),0),IFERROR(VLOOKUP((AI$36&amp;"&amp;"&amp;$V58),'MASTER DATA'!$R:$X,7,FALSE)*AI$34*(VLOOKUP(AI$36,'MASTER DATA'!$AG:$AH,2,FALSE)),0))</f>
        <v>0</v>
      </c>
      <c r="AJ58" s="60">
        <f t="shared" si="24"/>
        <v>0</v>
      </c>
      <c r="AK58" s="38"/>
      <c r="AL58" s="60">
        <f>IF(AL$34="",IFERROR(VLOOKUP((AL$36&amp;"&amp;"&amp;$V58),'MASTER DATA'!$R:$X,7,FALSE)*AL$35*(VLOOKUP(AL$36,'MASTER DATA'!$AG:$AH,2,FALSE)),0),IFERROR(VLOOKUP((AL$36&amp;"&amp;"&amp;$V58),'MASTER DATA'!$R:$X,7,FALSE)*AL$34*(VLOOKUP(AL$36,'MASTER DATA'!$AG:$AH,2,FALSE)),0))</f>
        <v>0</v>
      </c>
      <c r="AM58" s="60">
        <f t="shared" si="25"/>
        <v>0</v>
      </c>
      <c r="AN58" s="38"/>
      <c r="AO58" s="60">
        <f>IF(AO$34="",IFERROR(VLOOKUP((AO$36&amp;"&amp;"&amp;$V58),'MASTER DATA'!$R:$X,7,FALSE)*AO$35*(VLOOKUP(AO$36,'MASTER DATA'!$AG:$AH,2,FALSE)),0),IFERROR(VLOOKUP((AO$36&amp;"&amp;"&amp;$V58),'MASTER DATA'!$R:$X,7,FALSE)*AO$34*(VLOOKUP(AO$36,'MASTER DATA'!$AG:$AH,2,FALSE)),0))</f>
        <v>0</v>
      </c>
      <c r="AP58" s="60">
        <f t="shared" si="26"/>
        <v>0</v>
      </c>
      <c r="AQ58" s="38"/>
      <c r="AR58" s="60">
        <f>IF(AR$34="",IFERROR(VLOOKUP((AR$36&amp;"&amp;"&amp;$V58),'MASTER DATA'!$R:$X,7,FALSE)*AR$35*(VLOOKUP(AR$36,'MASTER DATA'!$AG:$AH,2,FALSE)),0),IFERROR(VLOOKUP((AR$36&amp;"&amp;"&amp;$V58),'MASTER DATA'!$R:$X,7,FALSE)*AR$34*(VLOOKUP(AR$36,'MASTER DATA'!$AG:$AH,2,FALSE)),0))</f>
        <v>0</v>
      </c>
      <c r="AS58" s="60">
        <f t="shared" si="27"/>
        <v>0</v>
      </c>
      <c r="AT58" s="38"/>
      <c r="AU58" s="60">
        <f>IF(AU$34="",IFERROR(VLOOKUP((AU$36&amp;"&amp;"&amp;$V58),'MASTER DATA'!$R:$X,7,FALSE)*AU$35*(VLOOKUP(AU$36,'MASTER DATA'!$AG:$AH,2,FALSE)),0),IFERROR(VLOOKUP((AU$36&amp;"&amp;"&amp;$V58),'MASTER DATA'!$R:$X,7,FALSE)*AU$34*(VLOOKUP(AU$36,'MASTER DATA'!$AG:$AH,2,FALSE)),0))</f>
        <v>0</v>
      </c>
      <c r="AV58" s="60">
        <f t="shared" si="28"/>
        <v>0</v>
      </c>
      <c r="AW58" s="60"/>
      <c r="AX58" s="60">
        <f>IF(AX$34="",IFERROR(VLOOKUP((AX$36&amp;"&amp;"&amp;$V58),'MASTER DATA'!$R:$X,7,FALSE)*AX$35*(VLOOKUP(AX$36,'MASTER DATA'!$AG:$AH,2,FALSE)),0),IFERROR(VLOOKUP((AX$36&amp;"&amp;"&amp;$V58),'MASTER DATA'!$R:$X,7,FALSE)*AX$34*(VLOOKUP(AX$36,'MASTER DATA'!$AG:$AH,2,FALSE)),0))</f>
        <v>0</v>
      </c>
      <c r="AY58" s="60">
        <f t="shared" si="29"/>
        <v>0</v>
      </c>
    </row>
    <row r="59" spans="1:51" x14ac:dyDescent="0.25">
      <c r="A59" s="71"/>
      <c r="B59" s="38"/>
      <c r="C59" s="211" t="s">
        <v>410</v>
      </c>
      <c r="D59" s="211" t="s">
        <v>411</v>
      </c>
      <c r="E59" s="212">
        <v>17.878119999999999</v>
      </c>
      <c r="F59" s="212">
        <v>0.99399999999999999</v>
      </c>
      <c r="G59" s="211">
        <v>7</v>
      </c>
      <c r="H59" s="39">
        <f t="shared" si="12"/>
        <v>4.8133400000000002</v>
      </c>
      <c r="I59" s="39"/>
      <c r="J59" s="38">
        <v>0</v>
      </c>
      <c r="K59" s="38">
        <v>0</v>
      </c>
      <c r="L59" s="40">
        <f t="shared" si="18"/>
        <v>21.69746</v>
      </c>
      <c r="M59" s="40">
        <f t="shared" si="14"/>
        <v>0.83451769230769224</v>
      </c>
      <c r="N59" s="41">
        <f>VLOOKUP(C59,'MASTER DATA'!B:D,3,0)</f>
        <v>1</v>
      </c>
      <c r="O59" s="77">
        <f t="shared" si="15"/>
        <v>834.51769230769219</v>
      </c>
      <c r="P59" s="42">
        <f t="shared" si="16"/>
        <v>4.8133400000000002</v>
      </c>
      <c r="Q59" s="77">
        <f t="shared" si="17"/>
        <v>7</v>
      </c>
      <c r="R59" s="38"/>
      <c r="S59" s="38"/>
      <c r="W59" s="204">
        <f t="shared" ref="W59" si="30">SUM(W41:W58)</f>
        <v>0</v>
      </c>
      <c r="X59" s="204">
        <f t="shared" ref="X59" si="31">SUM(X41:X58)</f>
        <v>2113.6768392931849</v>
      </c>
      <c r="Y59" s="204">
        <f t="shared" ref="Y59" si="32">SUM(Y41:Y58)</f>
        <v>0</v>
      </c>
      <c r="Z59" s="204">
        <f t="shared" ref="Z59" si="33">SUM(Z41:Z58)</f>
        <v>0</v>
      </c>
      <c r="AA59" s="202">
        <f>SUM(AA41:AA58)</f>
        <v>2113.6768392931849</v>
      </c>
      <c r="AB59" s="53"/>
      <c r="AC59" s="76">
        <f>SUM(AC41:AC58)</f>
        <v>0</v>
      </c>
      <c r="AD59" s="76">
        <f>SUM(AD41:AD58)</f>
        <v>-2113.6768392931849</v>
      </c>
      <c r="AE59" s="53"/>
      <c r="AF59" s="76">
        <f>SUM(AF41:AF58)</f>
        <v>0</v>
      </c>
      <c r="AG59" s="76">
        <f>SUM(AG41:AG58)</f>
        <v>-2113.6768392931849</v>
      </c>
      <c r="AH59" s="53"/>
      <c r="AI59" s="76">
        <f>SUM(AI41:AI58)</f>
        <v>0</v>
      </c>
      <c r="AJ59" s="76">
        <f>SUM(AJ41:AJ58)</f>
        <v>-2113.6768392931849</v>
      </c>
      <c r="AK59" s="53"/>
      <c r="AL59" s="76">
        <f>SUM(AL41:AL58)</f>
        <v>2560</v>
      </c>
      <c r="AM59" s="76">
        <f>SUM(AM41:AM58)</f>
        <v>446.32316070681503</v>
      </c>
      <c r="AN59" s="53"/>
      <c r="AO59" s="76">
        <f>SUM(AO41:AO58)</f>
        <v>0</v>
      </c>
      <c r="AP59" s="76">
        <f>SUM(AP41:AP58)</f>
        <v>446.32316070681503</v>
      </c>
      <c r="AQ59" s="53"/>
      <c r="AR59" s="76">
        <f>SUM(AR41:AR58)</f>
        <v>0</v>
      </c>
      <c r="AS59" s="76">
        <f>SUM(AS41:AS58)</f>
        <v>446.32316070681503</v>
      </c>
      <c r="AT59" s="53"/>
      <c r="AU59" s="76">
        <f>SUM(AU41:AU58)</f>
        <v>0</v>
      </c>
      <c r="AV59" s="76">
        <f>SUM(AV41:AV58)</f>
        <v>446.32316070681503</v>
      </c>
      <c r="AW59" s="76"/>
      <c r="AX59" s="76">
        <f>SUM(AX41:AX58)</f>
        <v>0</v>
      </c>
      <c r="AY59" s="76">
        <f>SUM(AY41:AY58)</f>
        <v>446.32316070681503</v>
      </c>
    </row>
    <row r="60" spans="1:51" x14ac:dyDescent="0.25">
      <c r="A60" s="71"/>
      <c r="B60" s="38"/>
      <c r="C60" s="211" t="s">
        <v>412</v>
      </c>
      <c r="D60" s="211" t="s">
        <v>413</v>
      </c>
      <c r="E60" s="212">
        <v>2.5503399999999998</v>
      </c>
      <c r="F60" s="212">
        <v>0.30828</v>
      </c>
      <c r="G60" s="211">
        <v>7</v>
      </c>
      <c r="H60" s="39">
        <f t="shared" si="12"/>
        <v>0.68662999999999996</v>
      </c>
      <c r="I60" s="39"/>
      <c r="J60" s="38">
        <v>0</v>
      </c>
      <c r="K60" s="38">
        <v>0</v>
      </c>
      <c r="L60" s="40">
        <f t="shared" si="18"/>
        <v>2.92869</v>
      </c>
      <c r="M60" s="40">
        <f t="shared" si="14"/>
        <v>0.11264192307692308</v>
      </c>
      <c r="N60" s="41">
        <f>VLOOKUP(C60,'MASTER DATA'!B:D,3,0)</f>
        <v>1</v>
      </c>
      <c r="O60" s="77">
        <f t="shared" si="15"/>
        <v>112.64192307692308</v>
      </c>
      <c r="P60" s="42">
        <f t="shared" si="16"/>
        <v>0.68663000000000007</v>
      </c>
      <c r="Q60" s="77">
        <f t="shared" si="17"/>
        <v>7.0000000000000009</v>
      </c>
      <c r="R60" s="38"/>
      <c r="S60" s="38"/>
    </row>
    <row r="61" spans="1:51" x14ac:dyDescent="0.25">
      <c r="A61" s="71"/>
      <c r="B61" s="38"/>
      <c r="C61" s="235" t="s">
        <v>515</v>
      </c>
      <c r="D61" s="235" t="s">
        <v>516</v>
      </c>
      <c r="E61" s="99">
        <v>9.7220000000000001E-2</v>
      </c>
      <c r="F61" s="212">
        <v>2.07572</v>
      </c>
      <c r="G61" s="211">
        <v>7</v>
      </c>
      <c r="H61" s="39">
        <f t="shared" si="12"/>
        <v>2.6174615384615386E-2</v>
      </c>
      <c r="I61" s="39"/>
      <c r="J61" s="38">
        <v>0</v>
      </c>
      <c r="K61" s="38">
        <v>0</v>
      </c>
      <c r="L61" s="40">
        <f t="shared" si="18"/>
        <v>0</v>
      </c>
      <c r="M61" s="40">
        <f t="shared" si="14"/>
        <v>0</v>
      </c>
      <c r="N61" s="41">
        <f>VLOOKUP(C61,'MASTER DATA'!B:D,3,0)</f>
        <v>1.3</v>
      </c>
      <c r="O61" s="77">
        <f t="shared" si="15"/>
        <v>0</v>
      </c>
      <c r="P61" s="42">
        <f t="shared" si="16"/>
        <v>1.9784999999999999</v>
      </c>
      <c r="Q61" s="77">
        <f t="shared" si="17"/>
        <v>529.11952273194811</v>
      </c>
      <c r="R61" s="38"/>
      <c r="S61" s="38"/>
    </row>
    <row r="62" spans="1:51" x14ac:dyDescent="0.25">
      <c r="A62" s="71"/>
      <c r="B62" s="38"/>
      <c r="C62" s="235" t="s">
        <v>517</v>
      </c>
      <c r="D62" s="235" t="s">
        <v>518</v>
      </c>
      <c r="E62" s="99">
        <v>18.149999999999999</v>
      </c>
      <c r="F62" s="212">
        <v>3.6722399999999999</v>
      </c>
      <c r="G62" s="211">
        <v>14</v>
      </c>
      <c r="H62" s="39">
        <f t="shared" si="12"/>
        <v>9.773076923076923</v>
      </c>
      <c r="I62" s="39"/>
      <c r="J62" s="38">
        <v>0</v>
      </c>
      <c r="K62" s="38">
        <v>25</v>
      </c>
      <c r="L62" s="40">
        <f t="shared" si="18"/>
        <v>49.250836923076918</v>
      </c>
      <c r="M62" s="40">
        <f t="shared" si="14"/>
        <v>1.8942629585798814</v>
      </c>
      <c r="N62" s="41">
        <f>VLOOKUP(C62,'MASTER DATA'!B:D,3,0)</f>
        <v>1.4</v>
      </c>
      <c r="O62" s="77">
        <f t="shared" si="15"/>
        <v>1353.0449704142011</v>
      </c>
      <c r="P62" s="42">
        <f t="shared" si="16"/>
        <v>9.7730769230769212</v>
      </c>
      <c r="Q62" s="77">
        <f t="shared" si="17"/>
        <v>13.999999999999998</v>
      </c>
      <c r="R62" s="38"/>
      <c r="S62" s="38"/>
    </row>
    <row r="63" spans="1:51" x14ac:dyDescent="0.25">
      <c r="A63" s="71"/>
      <c r="B63" s="38"/>
      <c r="C63" s="235"/>
      <c r="D63" s="235"/>
      <c r="E63" s="99"/>
      <c r="F63" s="99"/>
      <c r="G63" s="38"/>
      <c r="H63" s="39">
        <f t="shared" si="12"/>
        <v>0</v>
      </c>
      <c r="I63" s="39"/>
      <c r="J63" s="38"/>
      <c r="K63" s="38"/>
      <c r="L63" s="40">
        <f t="shared" si="18"/>
        <v>0</v>
      </c>
      <c r="M63" s="40">
        <f t="shared" si="14"/>
        <v>0</v>
      </c>
      <c r="N63" s="41" t="e">
        <f>VLOOKUP(C63,'MASTER DATA'!B:D,3,0)</f>
        <v>#N/A</v>
      </c>
      <c r="O63" s="77">
        <f t="shared" si="15"/>
        <v>0</v>
      </c>
      <c r="P63" s="42">
        <f t="shared" si="16"/>
        <v>0</v>
      </c>
      <c r="Q63" s="77" t="e">
        <f t="shared" si="17"/>
        <v>#DIV/0!</v>
      </c>
      <c r="R63" s="38"/>
      <c r="S63" s="38"/>
    </row>
    <row r="64" spans="1:51" x14ac:dyDescent="0.25">
      <c r="A64" s="71"/>
      <c r="B64" s="38"/>
      <c r="C64" s="38"/>
      <c r="D64" s="38"/>
      <c r="E64" s="99"/>
      <c r="F64" s="99"/>
      <c r="G64" s="38"/>
      <c r="H64" s="39">
        <f t="shared" si="12"/>
        <v>0</v>
      </c>
      <c r="I64" s="39"/>
      <c r="J64" s="38"/>
      <c r="K64" s="38"/>
      <c r="L64" s="40">
        <f t="shared" si="18"/>
        <v>0</v>
      </c>
      <c r="M64" s="40">
        <f t="shared" si="14"/>
        <v>0</v>
      </c>
      <c r="N64" s="41" t="e">
        <f>VLOOKUP(C64,'MASTER DATA'!B:D,3,0)</f>
        <v>#N/A</v>
      </c>
      <c r="O64" s="77">
        <f t="shared" si="15"/>
        <v>0</v>
      </c>
      <c r="P64" s="42">
        <f t="shared" si="16"/>
        <v>0</v>
      </c>
      <c r="Q64" s="77" t="e">
        <f t="shared" si="17"/>
        <v>#DIV/0!</v>
      </c>
      <c r="R64" s="38"/>
      <c r="S64" s="38"/>
    </row>
    <row r="65" spans="1:28" x14ac:dyDescent="0.25">
      <c r="A65" s="71"/>
      <c r="B65" s="38"/>
      <c r="C65" s="38"/>
      <c r="D65" s="38"/>
      <c r="E65" s="99"/>
      <c r="F65" s="99"/>
      <c r="G65" s="38"/>
      <c r="H65" s="39">
        <f t="shared" si="12"/>
        <v>0</v>
      </c>
      <c r="I65" s="39"/>
      <c r="J65" s="38"/>
      <c r="K65" s="38"/>
      <c r="L65" s="40">
        <f t="shared" si="18"/>
        <v>0</v>
      </c>
      <c r="M65" s="40">
        <f t="shared" si="14"/>
        <v>0</v>
      </c>
      <c r="N65" s="41" t="e">
        <f>VLOOKUP(C65,'MASTER DATA'!B:D,3,0)</f>
        <v>#N/A</v>
      </c>
      <c r="O65" s="77">
        <f t="shared" si="15"/>
        <v>0</v>
      </c>
      <c r="P65" s="42">
        <f t="shared" si="16"/>
        <v>0</v>
      </c>
      <c r="Q65" s="77" t="e">
        <f t="shared" si="17"/>
        <v>#DIV/0!</v>
      </c>
      <c r="R65" s="38"/>
      <c r="S65" s="38"/>
    </row>
    <row r="66" spans="1:28" x14ac:dyDescent="0.25">
      <c r="A66" s="71"/>
      <c r="B66" s="38"/>
      <c r="C66" s="38"/>
      <c r="D66" s="38"/>
      <c r="E66" s="99"/>
      <c r="F66" s="99"/>
      <c r="G66" s="38"/>
      <c r="H66" s="39">
        <f t="shared" si="12"/>
        <v>0</v>
      </c>
      <c r="I66" s="39"/>
      <c r="J66" s="38"/>
      <c r="K66" s="38"/>
      <c r="L66" s="40">
        <f t="shared" si="18"/>
        <v>0</v>
      </c>
      <c r="M66" s="40">
        <f t="shared" si="14"/>
        <v>0</v>
      </c>
      <c r="N66" s="41" t="e">
        <f>VLOOKUP(C66,'MASTER DATA'!B:D,3,0)</f>
        <v>#N/A</v>
      </c>
      <c r="O66" s="77">
        <f t="shared" si="15"/>
        <v>0</v>
      </c>
      <c r="P66" s="42">
        <f t="shared" si="16"/>
        <v>0</v>
      </c>
      <c r="Q66" s="77" t="e">
        <f t="shared" si="17"/>
        <v>#DIV/0!</v>
      </c>
      <c r="R66" s="38"/>
      <c r="S66" s="38"/>
    </row>
    <row r="67" spans="1:28" x14ac:dyDescent="0.25">
      <c r="A67" s="71"/>
      <c r="B67" s="38"/>
      <c r="C67" s="38"/>
      <c r="D67" s="38"/>
      <c r="E67" s="99"/>
      <c r="F67" s="99"/>
      <c r="G67" s="38"/>
      <c r="H67" s="39">
        <f t="shared" si="12"/>
        <v>0</v>
      </c>
      <c r="I67" s="39"/>
      <c r="J67" s="38"/>
      <c r="K67" s="38"/>
      <c r="L67" s="40">
        <f t="shared" si="18"/>
        <v>0</v>
      </c>
      <c r="M67" s="40">
        <f t="shared" si="14"/>
        <v>0</v>
      </c>
      <c r="N67" s="41" t="e">
        <f>VLOOKUP(C67,'MASTER DATA'!B:D,3,0)</f>
        <v>#N/A</v>
      </c>
      <c r="O67" s="77">
        <f t="shared" si="15"/>
        <v>0</v>
      </c>
      <c r="P67" s="42">
        <f t="shared" si="16"/>
        <v>0</v>
      </c>
      <c r="Q67" s="77" t="e">
        <f t="shared" si="17"/>
        <v>#DIV/0!</v>
      </c>
      <c r="R67" s="38"/>
      <c r="S67" s="38"/>
    </row>
    <row r="68" spans="1:28" x14ac:dyDescent="0.25">
      <c r="A68" s="71"/>
      <c r="B68" s="38"/>
      <c r="C68" s="38"/>
      <c r="D68" s="38"/>
      <c r="E68" s="99"/>
      <c r="F68" s="99"/>
      <c r="G68" s="38"/>
      <c r="H68" s="39">
        <f t="shared" si="12"/>
        <v>0</v>
      </c>
      <c r="I68" s="39"/>
      <c r="J68" s="38"/>
      <c r="K68" s="38"/>
      <c r="L68" s="40">
        <f t="shared" si="18"/>
        <v>0</v>
      </c>
      <c r="M68" s="40">
        <f t="shared" si="14"/>
        <v>0</v>
      </c>
      <c r="N68" s="41" t="e">
        <f>VLOOKUP(C68,'MASTER DATA'!B:D,3,0)</f>
        <v>#N/A</v>
      </c>
      <c r="O68" s="77">
        <f t="shared" si="15"/>
        <v>0</v>
      </c>
      <c r="P68" s="42">
        <f t="shared" si="16"/>
        <v>0</v>
      </c>
      <c r="Q68" s="77" t="e">
        <f t="shared" si="17"/>
        <v>#DIV/0!</v>
      </c>
      <c r="R68" s="38"/>
      <c r="S68" s="38"/>
    </row>
    <row r="69" spans="1:28" x14ac:dyDescent="0.25">
      <c r="A69" s="71"/>
      <c r="B69" s="38"/>
      <c r="C69" s="38"/>
      <c r="D69" s="38"/>
      <c r="E69" s="99"/>
      <c r="F69" s="99"/>
      <c r="G69" s="38"/>
      <c r="H69" s="39">
        <f t="shared" si="12"/>
        <v>0</v>
      </c>
      <c r="I69" s="39"/>
      <c r="J69" s="38"/>
      <c r="K69" s="38"/>
      <c r="L69" s="40">
        <f t="shared" si="18"/>
        <v>0</v>
      </c>
      <c r="M69" s="40">
        <f t="shared" si="14"/>
        <v>0</v>
      </c>
      <c r="N69" s="41" t="e">
        <f>VLOOKUP(C69,'MASTER DATA'!B:D,3,0)</f>
        <v>#N/A</v>
      </c>
      <c r="O69" s="77">
        <f t="shared" si="15"/>
        <v>0</v>
      </c>
      <c r="P69" s="42">
        <f t="shared" si="16"/>
        <v>0</v>
      </c>
      <c r="Q69" s="77" t="e">
        <f t="shared" si="17"/>
        <v>#DIV/0!</v>
      </c>
      <c r="R69" s="38"/>
      <c r="S69" s="38"/>
    </row>
    <row r="70" spans="1:28" x14ac:dyDescent="0.25">
      <c r="A70" s="71"/>
      <c r="B70" s="38"/>
      <c r="C70" s="38"/>
      <c r="D70" s="38"/>
      <c r="E70" s="99"/>
      <c r="F70" s="99"/>
      <c r="G70" s="38"/>
      <c r="H70" s="39">
        <f t="shared" si="12"/>
        <v>0</v>
      </c>
      <c r="I70" s="39"/>
      <c r="J70" s="38"/>
      <c r="K70" s="38"/>
      <c r="L70" s="40">
        <f t="shared" si="18"/>
        <v>0</v>
      </c>
      <c r="M70" s="40">
        <f t="shared" si="14"/>
        <v>0</v>
      </c>
      <c r="N70" s="41" t="e">
        <f>VLOOKUP(C70,'MASTER DATA'!B:D,3,0)</f>
        <v>#N/A</v>
      </c>
      <c r="O70" s="77">
        <f t="shared" si="15"/>
        <v>0</v>
      </c>
      <c r="P70" s="42">
        <f t="shared" si="16"/>
        <v>0</v>
      </c>
      <c r="Q70" s="77" t="e">
        <f t="shared" si="17"/>
        <v>#DIV/0!</v>
      </c>
      <c r="R70" s="38"/>
      <c r="S70" s="38"/>
    </row>
    <row r="71" spans="1:28" x14ac:dyDescent="0.25">
      <c r="A71" s="71"/>
      <c r="B71" s="38"/>
      <c r="C71" s="38"/>
      <c r="D71" s="38"/>
      <c r="E71" s="99"/>
      <c r="F71" s="99"/>
      <c r="G71" s="38"/>
      <c r="H71" s="39">
        <f t="shared" si="12"/>
        <v>0</v>
      </c>
      <c r="I71" s="39"/>
      <c r="J71" s="38"/>
      <c r="K71" s="38"/>
      <c r="L71" s="40">
        <f t="shared" si="18"/>
        <v>0</v>
      </c>
      <c r="M71" s="40">
        <f t="shared" si="14"/>
        <v>0</v>
      </c>
      <c r="N71" s="41" t="e">
        <f>VLOOKUP(C71,'MASTER DATA'!B:D,3,0)</f>
        <v>#N/A</v>
      </c>
      <c r="O71" s="77">
        <f t="shared" si="15"/>
        <v>0</v>
      </c>
      <c r="P71" s="42">
        <f t="shared" si="16"/>
        <v>0</v>
      </c>
      <c r="Q71" s="77" t="e">
        <f t="shared" si="17"/>
        <v>#DIV/0!</v>
      </c>
      <c r="R71" s="38"/>
      <c r="S71" s="38"/>
    </row>
    <row r="72" spans="1:28" x14ac:dyDescent="0.25">
      <c r="A72" s="71"/>
      <c r="B72" s="38"/>
      <c r="C72" s="38"/>
      <c r="D72" s="38"/>
      <c r="E72" s="99"/>
      <c r="F72" s="99"/>
      <c r="G72" s="38"/>
      <c r="H72" s="39">
        <f t="shared" si="12"/>
        <v>0</v>
      </c>
      <c r="I72" s="39"/>
      <c r="J72" s="38"/>
      <c r="K72" s="38"/>
      <c r="L72" s="40">
        <f t="shared" si="18"/>
        <v>0</v>
      </c>
      <c r="M72" s="40">
        <f t="shared" si="14"/>
        <v>0</v>
      </c>
      <c r="N72" s="41" t="e">
        <f>VLOOKUP(C72,'MASTER DATA'!B:D,3,0)</f>
        <v>#N/A</v>
      </c>
      <c r="O72" s="77">
        <f t="shared" si="15"/>
        <v>0</v>
      </c>
      <c r="P72" s="42">
        <f t="shared" si="16"/>
        <v>0</v>
      </c>
      <c r="Q72" s="77" t="e">
        <f t="shared" si="17"/>
        <v>#DIV/0!</v>
      </c>
      <c r="R72" s="38"/>
      <c r="S72" s="38"/>
    </row>
    <row r="73" spans="1:28" x14ac:dyDescent="0.25">
      <c r="A73" s="71"/>
      <c r="B73" s="38"/>
      <c r="C73" s="38"/>
      <c r="D73" s="38"/>
      <c r="E73" s="99"/>
      <c r="F73" s="99"/>
      <c r="G73" s="38"/>
      <c r="H73" s="39">
        <f t="shared" si="12"/>
        <v>0</v>
      </c>
      <c r="I73" s="39"/>
      <c r="J73" s="38"/>
      <c r="K73" s="38"/>
      <c r="L73" s="40">
        <f t="shared" si="18"/>
        <v>0</v>
      </c>
      <c r="M73" s="40">
        <f t="shared" si="14"/>
        <v>0</v>
      </c>
      <c r="N73" s="41" t="e">
        <f>VLOOKUP(C73,'MASTER DATA'!B:D,3,0)</f>
        <v>#N/A</v>
      </c>
      <c r="O73" s="77">
        <f t="shared" si="15"/>
        <v>0</v>
      </c>
      <c r="P73" s="42">
        <f t="shared" si="16"/>
        <v>0</v>
      </c>
      <c r="Q73" s="77" t="e">
        <f t="shared" si="17"/>
        <v>#DIV/0!</v>
      </c>
      <c r="R73" s="38"/>
      <c r="S73" s="38"/>
    </row>
    <row r="74" spans="1:28" x14ac:dyDescent="0.25">
      <c r="A74" s="71"/>
      <c r="B74" s="38"/>
      <c r="C74" s="38"/>
      <c r="D74" s="38"/>
      <c r="E74" s="99"/>
      <c r="F74" s="99"/>
      <c r="G74" s="38"/>
      <c r="H74" s="39">
        <f t="shared" si="12"/>
        <v>0</v>
      </c>
      <c r="I74" s="39"/>
      <c r="J74" s="38"/>
      <c r="K74" s="38"/>
      <c r="L74" s="40">
        <f t="shared" si="18"/>
        <v>0</v>
      </c>
      <c r="M74" s="40">
        <f t="shared" si="14"/>
        <v>0</v>
      </c>
      <c r="N74" s="41" t="e">
        <f>VLOOKUP(C74,'MASTER DATA'!B:D,3,0)</f>
        <v>#N/A</v>
      </c>
      <c r="O74" s="77">
        <f t="shared" si="15"/>
        <v>0</v>
      </c>
      <c r="P74" s="42">
        <f t="shared" si="16"/>
        <v>0</v>
      </c>
      <c r="Q74" s="77" t="e">
        <f t="shared" si="17"/>
        <v>#DIV/0!</v>
      </c>
      <c r="R74" s="38"/>
      <c r="S74" s="38"/>
      <c r="V74" s="51" t="s">
        <v>128</v>
      </c>
      <c r="W74" s="236" t="s">
        <v>124</v>
      </c>
      <c r="X74" s="237"/>
      <c r="Y74" s="197" t="s">
        <v>126</v>
      </c>
      <c r="Z74" s="197" t="s">
        <v>127</v>
      </c>
      <c r="AA74" s="197" t="s">
        <v>123</v>
      </c>
      <c r="AB74" s="111" t="s">
        <v>330</v>
      </c>
    </row>
    <row r="75" spans="1:28" x14ac:dyDescent="0.25">
      <c r="A75" s="71"/>
      <c r="B75" s="38"/>
      <c r="C75" s="38"/>
      <c r="D75" s="38"/>
      <c r="E75" s="99"/>
      <c r="F75" s="99"/>
      <c r="G75" s="38"/>
      <c r="H75" s="39">
        <f t="shared" si="12"/>
        <v>0</v>
      </c>
      <c r="I75" s="39"/>
      <c r="J75" s="38"/>
      <c r="K75" s="38"/>
      <c r="L75" s="40">
        <f t="shared" si="18"/>
        <v>0</v>
      </c>
      <c r="M75" s="40">
        <f t="shared" si="14"/>
        <v>0</v>
      </c>
      <c r="N75" s="41" t="e">
        <f>VLOOKUP(C75,'MASTER DATA'!B:D,3,0)</f>
        <v>#N/A</v>
      </c>
      <c r="O75" s="77">
        <f t="shared" si="15"/>
        <v>0</v>
      </c>
      <c r="P75" s="42">
        <f t="shared" si="16"/>
        <v>0</v>
      </c>
      <c r="Q75" s="77" t="e">
        <f t="shared" si="17"/>
        <v>#DIV/0!</v>
      </c>
      <c r="R75" s="38"/>
      <c r="S75" s="38"/>
      <c r="V75" s="53" t="s">
        <v>106</v>
      </c>
      <c r="W75" s="51" t="s">
        <v>106</v>
      </c>
      <c r="X75" s="69">
        <v>0.248</v>
      </c>
      <c r="Y75" s="74">
        <f>$O$140*X75*$N$135</f>
        <v>0</v>
      </c>
      <c r="Z75" s="99">
        <f>SUMIF($B$138:$B$172,W75,$M$138:$M$172)*1000</f>
        <v>2922.2940351406833</v>
      </c>
      <c r="AA75" s="99">
        <f t="shared" ref="AA75:AA83" si="34">Y75-Z75</f>
        <v>-2922.2940351406833</v>
      </c>
      <c r="AB75" s="38"/>
    </row>
    <row r="76" spans="1:28" x14ac:dyDescent="0.25">
      <c r="A76" s="71"/>
      <c r="B76" s="38"/>
      <c r="C76" s="38"/>
      <c r="D76" s="38"/>
      <c r="E76" s="99"/>
      <c r="F76" s="99"/>
      <c r="G76" s="38"/>
      <c r="H76" s="39">
        <f t="shared" si="12"/>
        <v>0</v>
      </c>
      <c r="I76" s="39"/>
      <c r="J76" s="38"/>
      <c r="K76" s="38"/>
      <c r="L76" s="40">
        <f t="shared" si="18"/>
        <v>0</v>
      </c>
      <c r="M76" s="40">
        <f t="shared" si="14"/>
        <v>0</v>
      </c>
      <c r="N76" s="41" t="e">
        <f>VLOOKUP(C76,'MASTER DATA'!B:D,3,0)</f>
        <v>#N/A</v>
      </c>
      <c r="O76" s="77">
        <f t="shared" si="15"/>
        <v>0</v>
      </c>
      <c r="P76" s="42">
        <f t="shared" si="16"/>
        <v>0</v>
      </c>
      <c r="Q76" s="77" t="e">
        <f t="shared" si="17"/>
        <v>#DIV/0!</v>
      </c>
      <c r="R76" s="38"/>
      <c r="S76" s="38"/>
      <c r="V76" s="38"/>
      <c r="W76" s="51" t="s">
        <v>125</v>
      </c>
      <c r="X76" s="69">
        <v>0.218</v>
      </c>
      <c r="Y76" s="74">
        <f>$O$140*X76*$N$135</f>
        <v>0</v>
      </c>
      <c r="Z76" s="99">
        <f t="shared" ref="Z76:Z84" si="35">SUMIF($B$138:$B$172,W76,$M$138:$M$172)*1000</f>
        <v>2697.6174651980655</v>
      </c>
      <c r="AA76" s="99">
        <f t="shared" si="34"/>
        <v>-2697.6174651980655</v>
      </c>
      <c r="AB76" s="38"/>
    </row>
    <row r="77" spans="1:28" x14ac:dyDescent="0.25">
      <c r="A77" s="71"/>
      <c r="B77" s="38"/>
      <c r="C77" s="38"/>
      <c r="D77" s="38"/>
      <c r="E77" s="99"/>
      <c r="F77" s="99"/>
      <c r="G77" s="38"/>
      <c r="H77" s="39">
        <f t="shared" si="12"/>
        <v>0</v>
      </c>
      <c r="I77" s="39"/>
      <c r="J77" s="38"/>
      <c r="K77" s="38"/>
      <c r="L77" s="40">
        <f t="shared" si="18"/>
        <v>0</v>
      </c>
      <c r="M77" s="40">
        <f t="shared" si="14"/>
        <v>0</v>
      </c>
      <c r="N77" s="41" t="e">
        <f>VLOOKUP(C77,'MASTER DATA'!B:D,3,0)</f>
        <v>#N/A</v>
      </c>
      <c r="O77" s="77">
        <f t="shared" si="15"/>
        <v>0</v>
      </c>
      <c r="P77" s="42">
        <f t="shared" si="16"/>
        <v>0</v>
      </c>
      <c r="Q77" s="77" t="e">
        <f t="shared" si="17"/>
        <v>#DIV/0!</v>
      </c>
      <c r="R77" s="38"/>
      <c r="S77" s="38"/>
      <c r="V77" s="38"/>
      <c r="W77" s="51" t="s">
        <v>329</v>
      </c>
      <c r="X77" s="69">
        <v>1.4E-2</v>
      </c>
      <c r="Y77" s="74">
        <f t="shared" ref="Y77:Y83" si="36">$O$140*X77*$N$135</f>
        <v>0</v>
      </c>
      <c r="Z77" s="99">
        <f t="shared" si="35"/>
        <v>439.5824852071006</v>
      </c>
      <c r="AA77" s="99">
        <f t="shared" si="34"/>
        <v>-439.5824852071006</v>
      </c>
      <c r="AB77" s="38"/>
    </row>
    <row r="78" spans="1:28" x14ac:dyDescent="0.25">
      <c r="A78" s="71"/>
      <c r="B78" s="38"/>
      <c r="C78" s="38"/>
      <c r="D78" s="38"/>
      <c r="E78" s="99"/>
      <c r="F78" s="99"/>
      <c r="G78" s="38"/>
      <c r="H78" s="39">
        <f t="shared" si="12"/>
        <v>0</v>
      </c>
      <c r="I78" s="39"/>
      <c r="J78" s="38"/>
      <c r="K78" s="38"/>
      <c r="L78" s="40">
        <f t="shared" si="18"/>
        <v>0</v>
      </c>
      <c r="M78" s="40">
        <f t="shared" si="14"/>
        <v>0</v>
      </c>
      <c r="N78" s="41" t="e">
        <f>VLOOKUP(C78,'MASTER DATA'!B:D,3,0)</f>
        <v>#N/A</v>
      </c>
      <c r="O78" s="77">
        <f t="shared" si="15"/>
        <v>0</v>
      </c>
      <c r="P78" s="42">
        <f t="shared" si="16"/>
        <v>0</v>
      </c>
      <c r="Q78" s="77" t="e">
        <f t="shared" si="17"/>
        <v>#DIV/0!</v>
      </c>
      <c r="R78" s="38"/>
      <c r="S78" s="38"/>
      <c r="V78" s="38"/>
      <c r="W78" s="51" t="s">
        <v>325</v>
      </c>
      <c r="X78" s="69">
        <v>0.20599999999999999</v>
      </c>
      <c r="Y78" s="74">
        <f t="shared" si="36"/>
        <v>0</v>
      </c>
      <c r="Z78" s="99">
        <f t="shared" si="35"/>
        <v>0</v>
      </c>
      <c r="AA78" s="99">
        <f t="shared" si="34"/>
        <v>0</v>
      </c>
      <c r="AB78" s="38"/>
    </row>
    <row r="79" spans="1:28" x14ac:dyDescent="0.25">
      <c r="B79" s="38"/>
      <c r="C79" s="38"/>
      <c r="D79" s="38"/>
      <c r="E79" s="99"/>
      <c r="F79" s="99"/>
      <c r="G79" s="38"/>
      <c r="H79" s="39">
        <f t="shared" ref="H79" si="37">(E79/$E$8)*G79</f>
        <v>0</v>
      </c>
      <c r="I79" s="39"/>
      <c r="J79" s="38"/>
      <c r="K79" s="38"/>
      <c r="L79" s="40">
        <f t="shared" si="18"/>
        <v>0</v>
      </c>
      <c r="M79" s="40">
        <f t="shared" ref="M79:M81" si="38">IF(L79&lt;0,0,L79/$E$9)</f>
        <v>0</v>
      </c>
      <c r="N79" s="41" t="e">
        <f>VLOOKUP(C79,'MASTER DATA'!B:D,3,0)</f>
        <v>#N/A</v>
      </c>
      <c r="O79" s="77">
        <f t="shared" ref="O79:O81" si="39">IFERROR(IF(M79&lt;0,0,(M79*1000)/N79),0)</f>
        <v>0</v>
      </c>
      <c r="P79" s="42">
        <f t="shared" ref="P79:P81" si="40">L79+F79+J79-K79-E79+I79</f>
        <v>0</v>
      </c>
      <c r="Q79" s="77" t="e">
        <f t="shared" si="17"/>
        <v>#DIV/0!</v>
      </c>
      <c r="R79" s="38"/>
      <c r="S79" s="38"/>
      <c r="V79" s="38"/>
      <c r="W79" s="51" t="s">
        <v>129</v>
      </c>
      <c r="X79" s="69">
        <v>0.1</v>
      </c>
      <c r="Y79" s="74">
        <f t="shared" si="36"/>
        <v>0</v>
      </c>
      <c r="Z79" s="99">
        <f t="shared" si="35"/>
        <v>0.22189349112426035</v>
      </c>
      <c r="AA79" s="99">
        <f t="shared" si="34"/>
        <v>-0.22189349112426035</v>
      </c>
      <c r="AB79" s="38"/>
    </row>
    <row r="80" spans="1:28" x14ac:dyDescent="0.25">
      <c r="B80" s="38"/>
      <c r="C80" s="190"/>
      <c r="D80" s="38"/>
      <c r="E80" s="99"/>
      <c r="F80" s="39"/>
      <c r="G80" s="38"/>
      <c r="H80" s="39"/>
      <c r="I80" s="39"/>
      <c r="J80" s="38"/>
      <c r="K80" s="38"/>
      <c r="L80" s="40">
        <f t="shared" si="18"/>
        <v>0</v>
      </c>
      <c r="M80" s="40">
        <f t="shared" si="38"/>
        <v>0</v>
      </c>
      <c r="N80" s="41" t="e">
        <f>VLOOKUP(C80,'MASTER DATA'!B:D,3,0)</f>
        <v>#N/A</v>
      </c>
      <c r="O80" s="77">
        <f t="shared" si="39"/>
        <v>0</v>
      </c>
      <c r="P80" s="42">
        <f t="shared" si="40"/>
        <v>0</v>
      </c>
      <c r="Q80" s="77">
        <v>0</v>
      </c>
      <c r="R80" s="38"/>
      <c r="S80" s="38"/>
      <c r="V80" s="38"/>
      <c r="W80" s="51" t="s">
        <v>318</v>
      </c>
      <c r="X80" s="69">
        <v>0.108</v>
      </c>
      <c r="Y80" s="74">
        <f t="shared" si="36"/>
        <v>0</v>
      </c>
      <c r="Z80" s="99">
        <f t="shared" si="35"/>
        <v>0</v>
      </c>
      <c r="AA80" s="99">
        <f t="shared" si="34"/>
        <v>0</v>
      </c>
      <c r="AB80" s="38"/>
    </row>
    <row r="81" spans="2:29" x14ac:dyDescent="0.25">
      <c r="B81" s="38"/>
      <c r="C81" s="190"/>
      <c r="D81" s="38"/>
      <c r="E81" s="99"/>
      <c r="F81" s="50"/>
      <c r="G81" s="47"/>
      <c r="H81" s="48"/>
      <c r="I81" s="48"/>
      <c r="J81" s="38"/>
      <c r="K81" s="38"/>
      <c r="L81" s="40">
        <f t="shared" si="18"/>
        <v>0</v>
      </c>
      <c r="M81" s="40">
        <f t="shared" si="38"/>
        <v>0</v>
      </c>
      <c r="N81" s="41" t="e">
        <f>VLOOKUP(C81,'MASTER DATA'!B:D,3,0)</f>
        <v>#N/A</v>
      </c>
      <c r="O81" s="77">
        <f t="shared" si="39"/>
        <v>0</v>
      </c>
      <c r="P81" s="42">
        <f t="shared" si="40"/>
        <v>0</v>
      </c>
      <c r="Q81" s="77">
        <v>0</v>
      </c>
      <c r="R81" s="38"/>
      <c r="S81" s="38"/>
      <c r="V81" s="38"/>
      <c r="W81" s="51" t="s">
        <v>333</v>
      </c>
      <c r="X81" s="69">
        <v>6.8000000000000005E-2</v>
      </c>
      <c r="Y81" s="74">
        <f t="shared" si="36"/>
        <v>0</v>
      </c>
      <c r="Z81" s="99">
        <f t="shared" si="35"/>
        <v>0</v>
      </c>
      <c r="AA81" s="99">
        <f t="shared" si="34"/>
        <v>0</v>
      </c>
      <c r="AB81" s="38"/>
    </row>
    <row r="82" spans="2:29" x14ac:dyDescent="0.25">
      <c r="B82" s="38"/>
      <c r="C82" s="38"/>
      <c r="D82" s="58" t="s">
        <v>122</v>
      </c>
      <c r="E82" s="59">
        <f>SUM(E15:E81)</f>
        <v>588.85769999999991</v>
      </c>
      <c r="F82" s="59">
        <f>SUM(F15:F81)</f>
        <v>106.28185000000001</v>
      </c>
      <c r="G82" s="58"/>
      <c r="H82" s="59">
        <f>SUM(H15:H81)</f>
        <v>220.86505000000002</v>
      </c>
      <c r="I82" s="59"/>
      <c r="J82" s="59">
        <f>SUM(J15:J81)</f>
        <v>0</v>
      </c>
      <c r="K82" s="59">
        <f>SUM(K15:K81)</f>
        <v>104</v>
      </c>
      <c r="L82" s="59">
        <f>SUM(L15:L81)</f>
        <v>810.23032615384602</v>
      </c>
      <c r="M82" s="59">
        <f>SUM(M15:M81)</f>
        <v>31.162704852070998</v>
      </c>
      <c r="N82" s="59"/>
      <c r="O82" s="78">
        <f>SUM(O15:O81)</f>
        <v>27173.826354785917</v>
      </c>
      <c r="P82" s="78">
        <f>SUM(P15:P81)</f>
        <v>223.65447615384619</v>
      </c>
      <c r="Q82" s="78"/>
      <c r="R82" s="59"/>
      <c r="S82" s="38"/>
      <c r="V82" s="38"/>
      <c r="W82" s="51" t="s">
        <v>345</v>
      </c>
      <c r="X82" s="69">
        <v>0</v>
      </c>
      <c r="Y82" s="74">
        <f t="shared" si="36"/>
        <v>0</v>
      </c>
      <c r="Z82" s="99">
        <f t="shared" si="35"/>
        <v>0</v>
      </c>
      <c r="AA82" s="99">
        <f t="shared" si="34"/>
        <v>0</v>
      </c>
      <c r="AB82" s="38"/>
    </row>
    <row r="83" spans="2:29" x14ac:dyDescent="0.25">
      <c r="B83" s="201"/>
      <c r="C83" s="201" t="s">
        <v>120</v>
      </c>
      <c r="D83" s="53"/>
      <c r="E83" s="55"/>
      <c r="F83" s="55"/>
      <c r="G83" s="53"/>
      <c r="H83" s="55"/>
      <c r="I83" s="55"/>
      <c r="J83" s="53"/>
      <c r="K83" s="53"/>
      <c r="L83" s="53"/>
      <c r="M83" s="54"/>
      <c r="N83" s="43"/>
      <c r="O83" s="79"/>
      <c r="P83" s="44"/>
      <c r="Q83" s="79"/>
      <c r="R83" s="44"/>
      <c r="S83" s="44"/>
      <c r="V83" s="38"/>
      <c r="W83" s="51" t="s">
        <v>290</v>
      </c>
      <c r="X83" s="69">
        <v>3.7999999999999999E-2</v>
      </c>
      <c r="Y83" s="74">
        <f t="shared" si="36"/>
        <v>0</v>
      </c>
      <c r="Z83" s="99">
        <f t="shared" si="35"/>
        <v>0</v>
      </c>
      <c r="AA83" s="99">
        <f t="shared" si="34"/>
        <v>0</v>
      </c>
      <c r="AB83" s="38"/>
    </row>
    <row r="84" spans="2:29" x14ac:dyDescent="0.25">
      <c r="B84" s="38"/>
      <c r="C84" s="38" t="s">
        <v>85</v>
      </c>
      <c r="D84" s="38" t="s">
        <v>86</v>
      </c>
      <c r="E84" s="99">
        <v>0.01</v>
      </c>
      <c r="F84" s="39">
        <v>2.2460000000000001E-2</v>
      </c>
      <c r="G84" s="211">
        <v>4</v>
      </c>
      <c r="H84" s="39">
        <f>(E84/$E$8)*G84</f>
        <v>1.5384615384615385E-3</v>
      </c>
      <c r="I84" s="39"/>
      <c r="J84" s="38">
        <v>0</v>
      </c>
      <c r="K84" s="38">
        <v>0</v>
      </c>
      <c r="L84" s="40">
        <f t="shared" ref="L84:L131" si="41">IF(((E84-F84)+(H84)-(J84)+(K84))&lt;0,0,((E84-F84)+(H84)-(J84)+(K84)))</f>
        <v>0</v>
      </c>
      <c r="M84" s="40">
        <f t="shared" ref="M84:M131" si="42">IF(L84&lt;0,0,L84/$E$9)</f>
        <v>0</v>
      </c>
      <c r="N84" s="41">
        <f>VLOOKUP(C84,'[1]MASTER DATA'!B:D,3,0)</f>
        <v>0.5</v>
      </c>
      <c r="O84" s="77">
        <f>IFERROR(IF(M84&lt;0,0,(M84*1000)/N84),0)</f>
        <v>0</v>
      </c>
      <c r="P84" s="42">
        <f>L84+F84+J84-K84-E84</f>
        <v>1.2460000000000001E-2</v>
      </c>
      <c r="Q84" s="77">
        <f t="shared" ref="Q84:Q150" si="43">P84/(E84/$E$8)</f>
        <v>32.396000000000001</v>
      </c>
      <c r="R84" s="38"/>
      <c r="S84" s="38"/>
      <c r="V84" s="38"/>
      <c r="W84" s="38"/>
      <c r="X84" s="69">
        <f>SUM(X75:X83)</f>
        <v>1</v>
      </c>
      <c r="Y84" s="38"/>
      <c r="Z84" s="99">
        <f t="shared" si="35"/>
        <v>0</v>
      </c>
      <c r="AA84" s="99"/>
      <c r="AB84" s="38"/>
    </row>
    <row r="85" spans="2:29" x14ac:dyDescent="0.25">
      <c r="B85" s="38"/>
      <c r="C85" s="38" t="s">
        <v>414</v>
      </c>
      <c r="D85" s="38" t="s">
        <v>415</v>
      </c>
      <c r="E85" s="99">
        <v>0.25</v>
      </c>
      <c r="F85" s="39">
        <v>0</v>
      </c>
      <c r="G85" s="211">
        <v>4</v>
      </c>
      <c r="H85" s="39">
        <f t="shared" ref="H85:H102" si="44">(E85/$E$8)*G85</f>
        <v>3.8461538461538464E-2</v>
      </c>
      <c r="I85" s="39"/>
      <c r="J85" s="38">
        <v>0</v>
      </c>
      <c r="K85" s="38">
        <v>0</v>
      </c>
      <c r="L85" s="40">
        <f t="shared" si="41"/>
        <v>0.28846153846153844</v>
      </c>
      <c r="M85" s="40">
        <f t="shared" si="42"/>
        <v>1.1094674556213017E-2</v>
      </c>
      <c r="N85" s="41">
        <f>VLOOKUP(C85,'[1]MASTER DATA'!B:D,3,0)</f>
        <v>0.5</v>
      </c>
      <c r="O85" s="77">
        <f t="shared" ref="O85:O102" si="45">IFERROR(IF(M85&lt;0,0,(M85*1000)/N85),0)</f>
        <v>22.189349112426033</v>
      </c>
      <c r="P85" s="42">
        <f t="shared" ref="P85:P102" si="46">L85+F85+J85-K85-E85</f>
        <v>3.8461538461538436E-2</v>
      </c>
      <c r="Q85" s="77">
        <f t="shared" si="43"/>
        <v>3.9999999999999973</v>
      </c>
      <c r="R85" s="38"/>
      <c r="S85" s="38"/>
      <c r="Y85" s="71">
        <f>SUM(Y75:Y84)</f>
        <v>0</v>
      </c>
      <c r="AC85" s="71">
        <f>Y85*E9</f>
        <v>0</v>
      </c>
    </row>
    <row r="86" spans="2:29" x14ac:dyDescent="0.25">
      <c r="B86" s="38"/>
      <c r="C86" s="38" t="s">
        <v>416</v>
      </c>
      <c r="D86" s="38" t="s">
        <v>417</v>
      </c>
      <c r="E86" s="99">
        <v>0.2</v>
      </c>
      <c r="F86" s="39">
        <v>3.4793000000000003</v>
      </c>
      <c r="G86" s="211">
        <v>4</v>
      </c>
      <c r="H86" s="39">
        <f t="shared" si="44"/>
        <v>3.0769230769230771E-2</v>
      </c>
      <c r="I86" s="39"/>
      <c r="J86" s="38">
        <v>0</v>
      </c>
      <c r="K86" s="38">
        <v>0</v>
      </c>
      <c r="L86" s="40">
        <f t="shared" si="41"/>
        <v>0</v>
      </c>
      <c r="M86" s="40">
        <f t="shared" si="42"/>
        <v>0</v>
      </c>
      <c r="N86" s="41">
        <f>VLOOKUP(C86,'[1]MASTER DATA'!B:D,3,0)</f>
        <v>0.6</v>
      </c>
      <c r="O86" s="77">
        <f t="shared" si="45"/>
        <v>0</v>
      </c>
      <c r="P86" s="42">
        <f t="shared" si="46"/>
        <v>3.2793000000000001</v>
      </c>
      <c r="Q86" s="77">
        <f t="shared" si="43"/>
        <v>426.30899999999997</v>
      </c>
      <c r="R86" s="38"/>
      <c r="S86" s="38"/>
      <c r="V86" s="51" t="s">
        <v>128</v>
      </c>
      <c r="W86" s="236" t="s">
        <v>124</v>
      </c>
      <c r="X86" s="237"/>
      <c r="Y86" s="87" t="s">
        <v>126</v>
      </c>
      <c r="Z86" s="87" t="s">
        <v>127</v>
      </c>
      <c r="AA86" s="87" t="s">
        <v>123</v>
      </c>
      <c r="AB86" s="111" t="s">
        <v>330</v>
      </c>
    </row>
    <row r="87" spans="2:29" x14ac:dyDescent="0.25">
      <c r="B87" s="38"/>
      <c r="C87" s="38" t="s">
        <v>418</v>
      </c>
      <c r="D87" s="38" t="s">
        <v>419</v>
      </c>
      <c r="E87" s="99">
        <v>0.7</v>
      </c>
      <c r="F87" s="39">
        <v>2.8000000000000003E-4</v>
      </c>
      <c r="G87" s="211">
        <v>4</v>
      </c>
      <c r="H87" s="39">
        <f t="shared" si="44"/>
        <v>0.10769230769230768</v>
      </c>
      <c r="I87" s="39"/>
      <c r="J87" s="38">
        <v>0</v>
      </c>
      <c r="K87" s="38">
        <v>0</v>
      </c>
      <c r="L87" s="40">
        <f t="shared" si="41"/>
        <v>0.80741230769230765</v>
      </c>
      <c r="M87" s="40">
        <f t="shared" si="42"/>
        <v>3.1054319526627218E-2</v>
      </c>
      <c r="N87" s="41">
        <f>VLOOKUP(C87,'[1]MASTER DATA'!B:D,3,0)</f>
        <v>0.6</v>
      </c>
      <c r="O87" s="77">
        <f t="shared" si="45"/>
        <v>51.757199211045368</v>
      </c>
      <c r="P87" s="42">
        <f t="shared" si="46"/>
        <v>0.10769230769230764</v>
      </c>
      <c r="Q87" s="77">
        <f t="shared" si="43"/>
        <v>3.9999999999999987</v>
      </c>
      <c r="R87" s="38"/>
      <c r="S87" s="38"/>
      <c r="V87" s="53" t="s">
        <v>131</v>
      </c>
      <c r="W87" s="51" t="s">
        <v>131</v>
      </c>
      <c r="X87" s="69">
        <v>0.248</v>
      </c>
      <c r="Y87" s="99">
        <f>$O$155*X87*$N$155</f>
        <v>0</v>
      </c>
      <c r="Z87" s="99">
        <f>SUMIF($B$142:$B$165,W87,$M$142:$M$165)*1000</f>
        <v>0</v>
      </c>
      <c r="AA87" s="99">
        <f>Y87-Z87</f>
        <v>0</v>
      </c>
      <c r="AB87" s="38"/>
    </row>
    <row r="88" spans="2:29" x14ac:dyDescent="0.25">
      <c r="B88" s="38"/>
      <c r="C88" s="38" t="s">
        <v>420</v>
      </c>
      <c r="D88" s="38" t="s">
        <v>421</v>
      </c>
      <c r="E88" s="99">
        <v>0.2</v>
      </c>
      <c r="F88" s="39">
        <v>0.23327999999999999</v>
      </c>
      <c r="G88" s="211">
        <v>4</v>
      </c>
      <c r="H88" s="39">
        <f t="shared" si="44"/>
        <v>3.0769230769230771E-2</v>
      </c>
      <c r="I88" s="39"/>
      <c r="J88" s="38">
        <v>0</v>
      </c>
      <c r="K88" s="38">
        <v>0</v>
      </c>
      <c r="L88" s="40">
        <f t="shared" si="41"/>
        <v>0</v>
      </c>
      <c r="M88" s="40">
        <f t="shared" si="42"/>
        <v>0</v>
      </c>
      <c r="N88" s="41">
        <f>VLOOKUP(C88,'[1]MASTER DATA'!B:D,3,0)</f>
        <v>0.6</v>
      </c>
      <c r="O88" s="77">
        <f t="shared" si="45"/>
        <v>0</v>
      </c>
      <c r="P88" s="42">
        <f t="shared" si="46"/>
        <v>3.3279999999999976E-2</v>
      </c>
      <c r="Q88" s="77">
        <f t="shared" si="43"/>
        <v>4.3263999999999969</v>
      </c>
      <c r="R88" s="38"/>
      <c r="S88" s="38"/>
      <c r="V88" s="38"/>
      <c r="W88" s="51" t="s">
        <v>133</v>
      </c>
      <c r="X88" s="69">
        <v>0.3</v>
      </c>
      <c r="Y88" s="99">
        <f>$O$155*X88*$N$155</f>
        <v>0</v>
      </c>
      <c r="Z88" s="99">
        <f>SUMIF($B$142:$B$165,W88,$M$142:$M$165)*1000</f>
        <v>0</v>
      </c>
      <c r="AA88" s="99">
        <f t="shared" ref="AA88:AA90" si="47">Y88-Z88</f>
        <v>0</v>
      </c>
      <c r="AB88" s="38"/>
    </row>
    <row r="89" spans="2:29" x14ac:dyDescent="0.25">
      <c r="B89" s="38"/>
      <c r="C89" s="38" t="s">
        <v>89</v>
      </c>
      <c r="D89" s="38" t="s">
        <v>90</v>
      </c>
      <c r="E89" s="99">
        <v>0.04</v>
      </c>
      <c r="F89" s="39">
        <v>4.7684400000000009</v>
      </c>
      <c r="G89" s="211">
        <v>4</v>
      </c>
      <c r="H89" s="39">
        <f t="shared" si="44"/>
        <v>6.1538461538461538E-3</v>
      </c>
      <c r="I89" s="39"/>
      <c r="J89" s="38">
        <v>0</v>
      </c>
      <c r="K89" s="38">
        <v>0</v>
      </c>
      <c r="L89" s="40">
        <f t="shared" si="41"/>
        <v>0</v>
      </c>
      <c r="M89" s="40">
        <f t="shared" si="42"/>
        <v>0</v>
      </c>
      <c r="N89" s="41">
        <f>VLOOKUP(C89,'[1]MASTER DATA'!B:D,3,0)</f>
        <v>0.7</v>
      </c>
      <c r="O89" s="77">
        <f t="shared" si="45"/>
        <v>0</v>
      </c>
      <c r="P89" s="42">
        <f t="shared" si="46"/>
        <v>4.7284400000000009</v>
      </c>
      <c r="Q89" s="77">
        <f t="shared" si="43"/>
        <v>3073.4860000000008</v>
      </c>
      <c r="R89" s="38"/>
      <c r="S89" s="38"/>
      <c r="V89" s="38"/>
      <c r="W89" s="51" t="s">
        <v>343</v>
      </c>
      <c r="X89" s="69">
        <v>0.05</v>
      </c>
      <c r="Y89" s="99">
        <f>$O$155*X89*$N$155</f>
        <v>0</v>
      </c>
      <c r="Z89" s="99">
        <f>SUMIF($B$142:$B$165,W89,$M$142:$M$165)*1000</f>
        <v>0</v>
      </c>
      <c r="AA89" s="99">
        <f t="shared" si="47"/>
        <v>0</v>
      </c>
      <c r="AB89" s="38"/>
    </row>
    <row r="90" spans="2:29" x14ac:dyDescent="0.25">
      <c r="B90" s="38"/>
      <c r="C90" s="38" t="s">
        <v>422</v>
      </c>
      <c r="D90" s="38" t="s">
        <v>423</v>
      </c>
      <c r="E90" s="99">
        <v>12.59</v>
      </c>
      <c r="F90" s="39">
        <v>25.200239999999997</v>
      </c>
      <c r="G90" s="211">
        <v>4</v>
      </c>
      <c r="H90" s="39">
        <f t="shared" si="44"/>
        <v>1.936923076923077</v>
      </c>
      <c r="I90" s="39"/>
      <c r="J90" s="38">
        <v>0</v>
      </c>
      <c r="K90" s="38">
        <v>0</v>
      </c>
      <c r="L90" s="40">
        <f t="shared" si="41"/>
        <v>0</v>
      </c>
      <c r="M90" s="40">
        <f t="shared" si="42"/>
        <v>0</v>
      </c>
      <c r="N90" s="41">
        <f>VLOOKUP(C90,'[1]MASTER DATA'!B:D,3,0)</f>
        <v>0.7</v>
      </c>
      <c r="O90" s="77">
        <f t="shared" si="45"/>
        <v>0</v>
      </c>
      <c r="P90" s="42">
        <f t="shared" si="46"/>
        <v>12.610239999999997</v>
      </c>
      <c r="Q90" s="77">
        <f t="shared" si="43"/>
        <v>26.041798252581408</v>
      </c>
      <c r="R90" s="38"/>
      <c r="S90" s="38"/>
      <c r="V90" s="38"/>
      <c r="W90" s="51" t="s">
        <v>132</v>
      </c>
      <c r="X90" s="69">
        <v>0.40199999999999991</v>
      </c>
      <c r="Y90" s="99">
        <f>$O$155*X90*$N$155</f>
        <v>0</v>
      </c>
      <c r="Z90" s="99">
        <f>SUMIF($B$142:$B$165,W90,$M$142:$M$165)*1000</f>
        <v>0</v>
      </c>
      <c r="AA90" s="99">
        <f t="shared" si="47"/>
        <v>0</v>
      </c>
      <c r="AB90" s="38"/>
    </row>
    <row r="91" spans="2:29" x14ac:dyDescent="0.25">
      <c r="B91" s="38"/>
      <c r="C91" s="38" t="s">
        <v>424</v>
      </c>
      <c r="D91" s="38" t="s">
        <v>425</v>
      </c>
      <c r="E91" s="99">
        <v>1.7</v>
      </c>
      <c r="F91" s="39">
        <v>0</v>
      </c>
      <c r="G91" s="211">
        <v>4</v>
      </c>
      <c r="H91" s="39">
        <f t="shared" si="44"/>
        <v>0.26153846153846155</v>
      </c>
      <c r="I91" s="39"/>
      <c r="J91" s="38">
        <v>0</v>
      </c>
      <c r="K91" s="38">
        <v>0</v>
      </c>
      <c r="L91" s="40">
        <f t="shared" si="41"/>
        <v>1.9615384615384615</v>
      </c>
      <c r="M91" s="40">
        <f t="shared" si="42"/>
        <v>7.5443786982248517E-2</v>
      </c>
      <c r="N91" s="41">
        <f>VLOOKUP(C91,'[1]MASTER DATA'!B:D,3,0)</f>
        <v>0.7</v>
      </c>
      <c r="O91" s="77">
        <f t="shared" si="45"/>
        <v>107.77683854606931</v>
      </c>
      <c r="P91" s="42">
        <f t="shared" si="46"/>
        <v>0.2615384615384615</v>
      </c>
      <c r="Q91" s="77">
        <f t="shared" si="43"/>
        <v>3.9999999999999991</v>
      </c>
      <c r="R91" s="38"/>
      <c r="S91" s="38"/>
      <c r="V91" s="38"/>
      <c r="W91" s="51"/>
      <c r="X91" s="70"/>
      <c r="Y91" s="38"/>
      <c r="Z91" s="38"/>
      <c r="AA91" s="38"/>
      <c r="AB91" s="38"/>
    </row>
    <row r="92" spans="2:29" x14ac:dyDescent="0.25">
      <c r="B92" s="38"/>
      <c r="C92" s="38" t="s">
        <v>87</v>
      </c>
      <c r="D92" s="38" t="s">
        <v>88</v>
      </c>
      <c r="E92" s="99">
        <v>20.562059999999999</v>
      </c>
      <c r="F92" s="39">
        <v>2.6625999999999999</v>
      </c>
      <c r="G92" s="211">
        <v>4</v>
      </c>
      <c r="H92" s="39">
        <f t="shared" si="44"/>
        <v>3.1633938461538458</v>
      </c>
      <c r="I92" s="39"/>
      <c r="J92" s="38">
        <v>0</v>
      </c>
      <c r="K92" s="38">
        <v>0</v>
      </c>
      <c r="L92" s="40">
        <f t="shared" si="41"/>
        <v>21.062853846153843</v>
      </c>
      <c r="M92" s="40">
        <f t="shared" si="42"/>
        <v>0.81010976331360929</v>
      </c>
      <c r="N92" s="41">
        <f>VLOOKUP(C92,'[1]MASTER DATA'!B:D,3,0)</f>
        <v>0.8</v>
      </c>
      <c r="O92" s="77">
        <f t="shared" si="45"/>
        <v>1012.6372041420116</v>
      </c>
      <c r="P92" s="42">
        <f t="shared" si="46"/>
        <v>3.1633938461538449</v>
      </c>
      <c r="Q92" s="77">
        <f t="shared" si="43"/>
        <v>3.9999999999999987</v>
      </c>
      <c r="R92" s="38"/>
      <c r="S92" s="38"/>
      <c r="V92" s="38"/>
      <c r="W92" s="51"/>
      <c r="X92" s="70"/>
      <c r="Y92" s="38"/>
      <c r="Z92" s="38"/>
      <c r="AA92" s="38"/>
      <c r="AB92" s="38"/>
    </row>
    <row r="93" spans="2:29" x14ac:dyDescent="0.25">
      <c r="B93" s="38"/>
      <c r="C93" s="38" t="s">
        <v>426</v>
      </c>
      <c r="D93" s="38" t="s">
        <v>427</v>
      </c>
      <c r="E93" s="99">
        <v>26.69</v>
      </c>
      <c r="F93" s="39">
        <v>32.338479999999997</v>
      </c>
      <c r="G93" s="211">
        <v>4</v>
      </c>
      <c r="H93" s="39">
        <f t="shared" si="44"/>
        <v>4.1061538461538465</v>
      </c>
      <c r="I93" s="39"/>
      <c r="J93" s="38">
        <v>0</v>
      </c>
      <c r="K93" s="38">
        <v>0</v>
      </c>
      <c r="L93" s="40">
        <f t="shared" si="41"/>
        <v>0</v>
      </c>
      <c r="M93" s="40">
        <f t="shared" si="42"/>
        <v>0</v>
      </c>
      <c r="N93" s="41">
        <f>VLOOKUP(C93,'[1]MASTER DATA'!B:D,3,0)</f>
        <v>0.8</v>
      </c>
      <c r="O93" s="77">
        <f t="shared" si="45"/>
        <v>0</v>
      </c>
      <c r="P93" s="42">
        <f t="shared" si="46"/>
        <v>5.6484799999999957</v>
      </c>
      <c r="Q93" s="77">
        <f t="shared" si="43"/>
        <v>5.5024533533158442</v>
      </c>
      <c r="R93" s="38"/>
      <c r="S93" s="38"/>
      <c r="V93" s="38"/>
      <c r="W93" s="51"/>
      <c r="X93" s="70"/>
      <c r="Y93" s="38"/>
      <c r="Z93" s="38"/>
      <c r="AA93" s="38"/>
      <c r="AB93" s="38"/>
    </row>
    <row r="94" spans="2:29" x14ac:dyDescent="0.25">
      <c r="B94" s="38"/>
      <c r="C94" s="38" t="s">
        <v>428</v>
      </c>
      <c r="D94" s="38" t="s">
        <v>429</v>
      </c>
      <c r="E94" s="99">
        <v>1.5</v>
      </c>
      <c r="F94" s="39">
        <v>0</v>
      </c>
      <c r="G94" s="211">
        <v>4</v>
      </c>
      <c r="H94" s="39">
        <f t="shared" si="44"/>
        <v>0.23076923076923078</v>
      </c>
      <c r="I94" s="39"/>
      <c r="J94" s="38">
        <v>0</v>
      </c>
      <c r="K94" s="38">
        <v>0</v>
      </c>
      <c r="L94" s="40">
        <f t="shared" si="41"/>
        <v>1.7307692307692308</v>
      </c>
      <c r="M94" s="40">
        <f t="shared" si="42"/>
        <v>6.6568047337278113E-2</v>
      </c>
      <c r="N94" s="41">
        <f>VLOOKUP(C94,'[1]MASTER DATA'!B:D,3,0)</f>
        <v>0.8</v>
      </c>
      <c r="O94" s="77">
        <f t="shared" si="45"/>
        <v>83.210059171597635</v>
      </c>
      <c r="P94" s="42">
        <f t="shared" si="46"/>
        <v>0.23076923076923084</v>
      </c>
      <c r="Q94" s="77">
        <f t="shared" si="43"/>
        <v>4.0000000000000009</v>
      </c>
      <c r="R94" s="38"/>
      <c r="S94" s="38"/>
      <c r="V94" s="38"/>
      <c r="W94" s="51"/>
      <c r="X94" s="70"/>
      <c r="Y94" s="38"/>
      <c r="Z94" s="38"/>
      <c r="AA94" s="38"/>
      <c r="AB94" s="38"/>
    </row>
    <row r="95" spans="2:29" x14ac:dyDescent="0.25">
      <c r="B95" s="38"/>
      <c r="C95" s="38" t="s">
        <v>101</v>
      </c>
      <c r="D95" s="38" t="s">
        <v>262</v>
      </c>
      <c r="E95" s="99">
        <v>4.0935459999999999</v>
      </c>
      <c r="F95" s="39">
        <v>2.6301799999999997</v>
      </c>
      <c r="G95" s="211">
        <v>10</v>
      </c>
      <c r="H95" s="39">
        <f t="shared" si="44"/>
        <v>1.5744407692307691</v>
      </c>
      <c r="I95" s="39"/>
      <c r="J95" s="38">
        <v>0</v>
      </c>
      <c r="K95" s="38">
        <v>5</v>
      </c>
      <c r="L95" s="40">
        <f t="shared" si="41"/>
        <v>8.0378067692307695</v>
      </c>
      <c r="M95" s="40">
        <f t="shared" si="42"/>
        <v>0.30914641420118344</v>
      </c>
      <c r="N95" s="41">
        <f>VLOOKUP(C95,'[1]MASTER DATA'!B:D,3,0)</f>
        <v>0.9</v>
      </c>
      <c r="O95" s="77">
        <f t="shared" si="45"/>
        <v>343.49601577909272</v>
      </c>
      <c r="P95" s="42">
        <f t="shared" si="46"/>
        <v>1.5744407692307689</v>
      </c>
      <c r="Q95" s="77">
        <f t="shared" si="43"/>
        <v>9.9999999999999982</v>
      </c>
      <c r="R95" s="38"/>
      <c r="S95" s="38"/>
      <c r="V95" s="38"/>
      <c r="W95" s="51"/>
      <c r="X95" s="69"/>
      <c r="Y95" s="38"/>
      <c r="Z95" s="38"/>
      <c r="AA95" s="38"/>
      <c r="AB95" s="38"/>
    </row>
    <row r="96" spans="2:29" x14ac:dyDescent="0.25">
      <c r="B96" s="38"/>
      <c r="C96" s="38" t="s">
        <v>430</v>
      </c>
      <c r="D96" s="38" t="s">
        <v>431</v>
      </c>
      <c r="E96" s="99">
        <v>44.066000000000003</v>
      </c>
      <c r="F96" s="39">
        <v>146.25561999999999</v>
      </c>
      <c r="G96" s="211">
        <v>10</v>
      </c>
      <c r="H96" s="39">
        <f t="shared" si="44"/>
        <v>16.94846153846154</v>
      </c>
      <c r="I96" s="39"/>
      <c r="J96" s="38">
        <v>0</v>
      </c>
      <c r="K96" s="38">
        <v>0</v>
      </c>
      <c r="L96" s="40">
        <f t="shared" si="41"/>
        <v>0</v>
      </c>
      <c r="M96" s="40">
        <f t="shared" si="42"/>
        <v>0</v>
      </c>
      <c r="N96" s="41">
        <f>VLOOKUP(C96,'[1]MASTER DATA'!B:D,3,0)</f>
        <v>0.9</v>
      </c>
      <c r="O96" s="77">
        <f t="shared" si="45"/>
        <v>0</v>
      </c>
      <c r="P96" s="42">
        <f t="shared" si="46"/>
        <v>102.18961999999999</v>
      </c>
      <c r="Q96" s="77">
        <f t="shared" si="43"/>
        <v>60.294333953615023</v>
      </c>
      <c r="R96" s="38"/>
      <c r="S96" s="38"/>
      <c r="V96" s="38"/>
      <c r="W96" s="38"/>
      <c r="X96" s="69">
        <f>SUM(X87:X95)</f>
        <v>1</v>
      </c>
      <c r="Y96" s="38"/>
      <c r="Z96" s="38"/>
      <c r="AA96" s="38"/>
      <c r="AB96" s="38"/>
    </row>
    <row r="97" spans="2:29" x14ac:dyDescent="0.25">
      <c r="B97" s="38"/>
      <c r="C97" s="38" t="s">
        <v>432</v>
      </c>
      <c r="D97" s="38" t="s">
        <v>433</v>
      </c>
      <c r="E97" s="99">
        <v>1.7</v>
      </c>
      <c r="F97" s="39">
        <v>5.8779999999999999E-2</v>
      </c>
      <c r="G97" s="211">
        <v>10</v>
      </c>
      <c r="H97" s="39">
        <f t="shared" si="44"/>
        <v>0.65384615384615385</v>
      </c>
      <c r="I97" s="39"/>
      <c r="J97" s="38">
        <v>0</v>
      </c>
      <c r="K97" s="38">
        <v>0</v>
      </c>
      <c r="L97" s="40">
        <f t="shared" si="41"/>
        <v>2.2950661538461539</v>
      </c>
      <c r="M97" s="40">
        <f t="shared" si="42"/>
        <v>8.8271775147928999E-2</v>
      </c>
      <c r="N97" s="41">
        <f>VLOOKUP(C97,'[1]MASTER DATA'!B:D,3,0)</f>
        <v>0.9</v>
      </c>
      <c r="O97" s="77">
        <f t="shared" si="45"/>
        <v>98.079750164365564</v>
      </c>
      <c r="P97" s="42">
        <f t="shared" si="46"/>
        <v>0.65384615384615397</v>
      </c>
      <c r="Q97" s="77">
        <f t="shared" si="43"/>
        <v>10.000000000000002</v>
      </c>
      <c r="R97" s="38"/>
      <c r="S97" s="38"/>
      <c r="Y97" s="71">
        <f>SUM(Y87:Y96)</f>
        <v>0</v>
      </c>
      <c r="AA97" s="71">
        <f>Y97*3</f>
        <v>0</v>
      </c>
      <c r="AC97" s="71">
        <f>Y97*E9</f>
        <v>0</v>
      </c>
    </row>
    <row r="98" spans="2:29" x14ac:dyDescent="0.25">
      <c r="B98" s="38"/>
      <c r="C98" s="38" t="s">
        <v>44</v>
      </c>
      <c r="D98" s="38" t="s">
        <v>45</v>
      </c>
      <c r="E98" s="99">
        <v>4.9964199999999996</v>
      </c>
      <c r="F98" s="39">
        <v>10.363479999999999</v>
      </c>
      <c r="G98" s="211">
        <v>10</v>
      </c>
      <c r="H98" s="39">
        <f t="shared" si="44"/>
        <v>1.9216999999999997</v>
      </c>
      <c r="I98" s="39"/>
      <c r="J98" s="38">
        <v>0</v>
      </c>
      <c r="K98" s="38">
        <v>5</v>
      </c>
      <c r="L98" s="40">
        <f t="shared" si="41"/>
        <v>1.55464</v>
      </c>
      <c r="M98" s="40">
        <f t="shared" si="42"/>
        <v>5.9793846153846156E-2</v>
      </c>
      <c r="N98" s="41">
        <f>VLOOKUP(C98,'[1]MASTER DATA'!B:D,3,0)</f>
        <v>1</v>
      </c>
      <c r="O98" s="77">
        <f t="shared" si="45"/>
        <v>59.793846153846154</v>
      </c>
      <c r="P98" s="42">
        <f t="shared" si="46"/>
        <v>1.9216999999999986</v>
      </c>
      <c r="Q98" s="77">
        <f t="shared" si="43"/>
        <v>9.9999999999999947</v>
      </c>
      <c r="R98" s="38"/>
      <c r="S98" s="38"/>
    </row>
    <row r="99" spans="2:29" x14ac:dyDescent="0.25">
      <c r="B99" s="38"/>
      <c r="C99" s="38" t="s">
        <v>434</v>
      </c>
      <c r="D99" s="38" t="s">
        <v>435</v>
      </c>
      <c r="E99" s="99">
        <v>43.12</v>
      </c>
      <c r="F99" s="39">
        <v>98.41722</v>
      </c>
      <c r="G99" s="211">
        <v>10</v>
      </c>
      <c r="H99" s="39">
        <f t="shared" si="44"/>
        <v>16.584615384615383</v>
      </c>
      <c r="I99" s="39"/>
      <c r="J99" s="38">
        <v>0</v>
      </c>
      <c r="K99" s="38">
        <v>0</v>
      </c>
      <c r="L99" s="40">
        <f t="shared" si="41"/>
        <v>0</v>
      </c>
      <c r="M99" s="40">
        <f t="shared" si="42"/>
        <v>0</v>
      </c>
      <c r="N99" s="41">
        <f>VLOOKUP(C99,'[1]MASTER DATA'!B:D,3,0)</f>
        <v>1</v>
      </c>
      <c r="O99" s="77">
        <f t="shared" si="45"/>
        <v>0</v>
      </c>
      <c r="P99" s="42">
        <f t="shared" si="46"/>
        <v>55.297220000000003</v>
      </c>
      <c r="Q99" s="77">
        <f>P99/(E99/$E$8)</f>
        <v>33.342479591836735</v>
      </c>
      <c r="R99" s="38"/>
      <c r="S99" s="38"/>
    </row>
    <row r="100" spans="2:29" x14ac:dyDescent="0.25">
      <c r="B100" s="38"/>
      <c r="C100" s="38" t="s">
        <v>436</v>
      </c>
      <c r="D100" s="38" t="s">
        <v>437</v>
      </c>
      <c r="E100" s="99">
        <v>1.2</v>
      </c>
      <c r="F100" s="39">
        <v>0.36937999999999999</v>
      </c>
      <c r="G100" s="211">
        <v>10</v>
      </c>
      <c r="H100" s="39">
        <f t="shared" si="44"/>
        <v>0.46153846153846151</v>
      </c>
      <c r="I100" s="39"/>
      <c r="J100" s="38">
        <v>0</v>
      </c>
      <c r="K100" s="38">
        <v>0</v>
      </c>
      <c r="L100" s="40">
        <f t="shared" si="41"/>
        <v>1.2921584615384614</v>
      </c>
      <c r="M100" s="40">
        <f t="shared" si="42"/>
        <v>4.9698402366863896E-2</v>
      </c>
      <c r="N100" s="41">
        <f>VLOOKUP(C100,'[1]MASTER DATA'!B:D,3,0)</f>
        <v>1</v>
      </c>
      <c r="O100" s="77">
        <f t="shared" si="45"/>
        <v>49.698402366863895</v>
      </c>
      <c r="P100" s="42">
        <f t="shared" si="46"/>
        <v>0.46153846153846145</v>
      </c>
      <c r="Q100" s="77">
        <f t="shared" ref="Q100:Q127" si="48">P100/(E100/$E$8)</f>
        <v>9.9999999999999982</v>
      </c>
      <c r="R100" s="38"/>
      <c r="S100" s="38"/>
    </row>
    <row r="101" spans="2:29" x14ac:dyDescent="0.25">
      <c r="B101" s="38"/>
      <c r="C101" s="38" t="s">
        <v>50</v>
      </c>
      <c r="D101" s="38" t="s">
        <v>51</v>
      </c>
      <c r="E101" s="99">
        <v>0.31</v>
      </c>
      <c r="F101" s="39">
        <v>0.11139999999999999</v>
      </c>
      <c r="G101" s="211">
        <v>10</v>
      </c>
      <c r="H101" s="39">
        <f t="shared" si="44"/>
        <v>0.11923076923076924</v>
      </c>
      <c r="I101" s="39"/>
      <c r="J101" s="38">
        <v>0</v>
      </c>
      <c r="K101" s="38">
        <v>5</v>
      </c>
      <c r="L101" s="40">
        <f t="shared" si="41"/>
        <v>5.3178307692307696</v>
      </c>
      <c r="M101" s="40">
        <f t="shared" si="42"/>
        <v>0.20453195266272189</v>
      </c>
      <c r="N101" s="41">
        <f>VLOOKUP(C101,'[1]MASTER DATA'!B:D,3,0)</f>
        <v>1</v>
      </c>
      <c r="O101" s="77">
        <f t="shared" si="45"/>
        <v>204.53195266272189</v>
      </c>
      <c r="P101" s="42">
        <f t="shared" si="46"/>
        <v>0.11923076923076931</v>
      </c>
      <c r="Q101" s="77">
        <f t="shared" si="48"/>
        <v>10.000000000000005</v>
      </c>
      <c r="R101" s="38"/>
      <c r="S101" s="38"/>
    </row>
    <row r="102" spans="2:29" x14ac:dyDescent="0.25">
      <c r="B102" s="38"/>
      <c r="C102" s="38" t="s">
        <v>48</v>
      </c>
      <c r="D102" s="38" t="s">
        <v>49</v>
      </c>
      <c r="E102" s="99">
        <v>0.51300000000000001</v>
      </c>
      <c r="F102" s="39">
        <v>0.57779999999999998</v>
      </c>
      <c r="G102" s="211">
        <v>10</v>
      </c>
      <c r="H102" s="39">
        <f t="shared" si="44"/>
        <v>0.19730769230769232</v>
      </c>
      <c r="I102" s="39"/>
      <c r="J102" s="38">
        <v>0</v>
      </c>
      <c r="K102" s="38">
        <v>0</v>
      </c>
      <c r="L102" s="40">
        <f t="shared" si="41"/>
        <v>0.13250769230769235</v>
      </c>
      <c r="M102" s="40">
        <f t="shared" si="42"/>
        <v>5.0964497041420132E-3</v>
      </c>
      <c r="N102" s="41">
        <f>VLOOKUP(C102,'[1]MASTER DATA'!B:D,3,0)</f>
        <v>1.1000000000000001</v>
      </c>
      <c r="O102" s="77">
        <f t="shared" si="45"/>
        <v>4.6331360946745566</v>
      </c>
      <c r="P102" s="42">
        <f t="shared" si="46"/>
        <v>0.1973076923076923</v>
      </c>
      <c r="Q102" s="77">
        <f t="shared" si="48"/>
        <v>9.9999999999999982</v>
      </c>
      <c r="R102" s="38"/>
      <c r="S102" s="38"/>
    </row>
    <row r="103" spans="2:29" x14ac:dyDescent="0.25">
      <c r="B103" s="38"/>
      <c r="C103" s="38" t="s">
        <v>438</v>
      </c>
      <c r="D103" s="38" t="s">
        <v>439</v>
      </c>
      <c r="E103" s="99">
        <v>4.125</v>
      </c>
      <c r="F103" s="39">
        <v>15.2165</v>
      </c>
      <c r="G103" s="211">
        <v>10</v>
      </c>
      <c r="H103" s="39">
        <f>(E103/$E$8)*G103</f>
        <v>1.5865384615384615</v>
      </c>
      <c r="I103" s="39"/>
      <c r="J103" s="38">
        <v>0</v>
      </c>
      <c r="K103" s="38">
        <v>0</v>
      </c>
      <c r="L103" s="40">
        <f t="shared" si="41"/>
        <v>0</v>
      </c>
      <c r="M103" s="40">
        <f t="shared" si="42"/>
        <v>0</v>
      </c>
      <c r="N103" s="41">
        <f>VLOOKUP(C103,'[1]MASTER DATA'!B:D,3,0)</f>
        <v>1.1000000000000001</v>
      </c>
      <c r="O103" s="77">
        <f>IFERROR(IF(M103&lt;0,0,(M103*1000)/N103),0)</f>
        <v>0</v>
      </c>
      <c r="P103" s="42">
        <f>L103+F103+J103-K103-E103</f>
        <v>11.0915</v>
      </c>
      <c r="Q103" s="77">
        <f t="shared" si="48"/>
        <v>69.910060606060611</v>
      </c>
      <c r="R103" s="38"/>
      <c r="S103" s="38"/>
    </row>
    <row r="104" spans="2:29" x14ac:dyDescent="0.25">
      <c r="B104" s="38"/>
      <c r="C104" s="38" t="s">
        <v>440</v>
      </c>
      <c r="D104" s="38" t="s">
        <v>441</v>
      </c>
      <c r="E104" s="99">
        <v>1</v>
      </c>
      <c r="F104" s="39">
        <v>0</v>
      </c>
      <c r="G104" s="211">
        <v>10</v>
      </c>
      <c r="H104" s="39">
        <f t="shared" ref="H104:H131" si="49">(E104/$E$8)*G104</f>
        <v>0.38461538461538464</v>
      </c>
      <c r="I104" s="39"/>
      <c r="J104" s="38">
        <v>0</v>
      </c>
      <c r="K104" s="38">
        <v>0</v>
      </c>
      <c r="L104" s="40">
        <f t="shared" si="41"/>
        <v>1.3846153846153846</v>
      </c>
      <c r="M104" s="40">
        <f t="shared" si="42"/>
        <v>5.3254437869822487E-2</v>
      </c>
      <c r="N104" s="41">
        <f>VLOOKUP(C104,'[1]MASTER DATA'!B:D,3,0)</f>
        <v>1.1000000000000001</v>
      </c>
      <c r="O104" s="77">
        <f t="shared" ref="O104:O131" si="50">IFERROR(IF(M104&lt;0,0,(M104*1000)/N104),0)</f>
        <v>48.413125336202256</v>
      </c>
      <c r="P104" s="42">
        <f t="shared" ref="P104:P131" si="51">L104+F104+J104-K104-E104</f>
        <v>0.38461538461538458</v>
      </c>
      <c r="Q104" s="77">
        <f t="shared" si="48"/>
        <v>9.9999999999999982</v>
      </c>
      <c r="R104" s="38"/>
      <c r="S104" s="38"/>
    </row>
    <row r="105" spans="2:29" x14ac:dyDescent="0.25">
      <c r="B105" s="38"/>
      <c r="C105" s="38" t="s">
        <v>46</v>
      </c>
      <c r="D105" s="38" t="s">
        <v>47</v>
      </c>
      <c r="E105" s="99">
        <v>1.75326</v>
      </c>
      <c r="F105" s="39">
        <v>1.57084</v>
      </c>
      <c r="G105" s="211">
        <v>10</v>
      </c>
      <c r="H105" s="39">
        <f t="shared" si="49"/>
        <v>0.67433076923076929</v>
      </c>
      <c r="I105" s="39"/>
      <c r="J105" s="38">
        <v>0</v>
      </c>
      <c r="K105" s="38">
        <v>0</v>
      </c>
      <c r="L105" s="40">
        <f t="shared" si="41"/>
        <v>0.85675076923076932</v>
      </c>
      <c r="M105" s="40">
        <f t="shared" si="42"/>
        <v>3.2951952662721898E-2</v>
      </c>
      <c r="N105" s="41">
        <f>VLOOKUP(C105,'[1]MASTER DATA'!B:D,3,0)</f>
        <v>1.2</v>
      </c>
      <c r="O105" s="77">
        <f t="shared" si="50"/>
        <v>27.459960552268253</v>
      </c>
      <c r="P105" s="42">
        <f t="shared" si="51"/>
        <v>0.67433076923076918</v>
      </c>
      <c r="Q105" s="77">
        <f t="shared" si="48"/>
        <v>9.9999999999999982</v>
      </c>
      <c r="R105" s="38"/>
      <c r="S105" s="38"/>
    </row>
    <row r="106" spans="2:29" x14ac:dyDescent="0.25">
      <c r="B106" s="38"/>
      <c r="C106" s="38" t="s">
        <v>442</v>
      </c>
      <c r="D106" s="38" t="s">
        <v>443</v>
      </c>
      <c r="E106" s="99">
        <v>14.67037</v>
      </c>
      <c r="F106" s="39">
        <v>98.131319999999988</v>
      </c>
      <c r="G106" s="211">
        <v>10</v>
      </c>
      <c r="H106" s="39">
        <f t="shared" si="49"/>
        <v>5.6424500000000002</v>
      </c>
      <c r="I106" s="39"/>
      <c r="J106" s="38">
        <v>0</v>
      </c>
      <c r="K106" s="38">
        <v>0</v>
      </c>
      <c r="L106" s="40">
        <f t="shared" si="41"/>
        <v>0</v>
      </c>
      <c r="M106" s="40">
        <f t="shared" si="42"/>
        <v>0</v>
      </c>
      <c r="N106" s="41">
        <f>VLOOKUP(C106,'[1]MASTER DATA'!B:D,3,0)</f>
        <v>1.2</v>
      </c>
      <c r="O106" s="77">
        <f t="shared" si="50"/>
        <v>0</v>
      </c>
      <c r="P106" s="42">
        <f t="shared" si="51"/>
        <v>83.460949999999983</v>
      </c>
      <c r="Q106" s="77">
        <f t="shared" si="48"/>
        <v>147.91615344398264</v>
      </c>
      <c r="R106" s="38"/>
      <c r="S106" s="38"/>
    </row>
    <row r="107" spans="2:29" x14ac:dyDescent="0.25">
      <c r="B107" s="38"/>
      <c r="C107" s="38" t="s">
        <v>444</v>
      </c>
      <c r="D107" s="38" t="s">
        <v>445</v>
      </c>
      <c r="E107" s="99">
        <v>1</v>
      </c>
      <c r="F107" s="39">
        <v>0</v>
      </c>
      <c r="G107" s="211">
        <v>10</v>
      </c>
      <c r="H107" s="39">
        <f t="shared" si="49"/>
        <v>0.38461538461538464</v>
      </c>
      <c r="I107" s="39"/>
      <c r="J107" s="38">
        <v>0</v>
      </c>
      <c r="K107" s="38">
        <v>0</v>
      </c>
      <c r="L107" s="40">
        <f t="shared" si="41"/>
        <v>1.3846153846153846</v>
      </c>
      <c r="M107" s="40">
        <f t="shared" si="42"/>
        <v>5.3254437869822487E-2</v>
      </c>
      <c r="N107" s="41">
        <f>VLOOKUP(C107,'[1]MASTER DATA'!B:D,3,0)</f>
        <v>1.2</v>
      </c>
      <c r="O107" s="77">
        <f t="shared" si="50"/>
        <v>44.378698224852073</v>
      </c>
      <c r="P107" s="42">
        <f t="shared" si="51"/>
        <v>0.38461538461538458</v>
      </c>
      <c r="Q107" s="77">
        <f t="shared" si="48"/>
        <v>9.9999999999999982</v>
      </c>
      <c r="R107" s="38"/>
      <c r="S107" s="38"/>
    </row>
    <row r="108" spans="2:29" x14ac:dyDescent="0.25">
      <c r="B108" s="38"/>
      <c r="C108" s="38" t="s">
        <v>99</v>
      </c>
      <c r="D108" s="38" t="s">
        <v>100</v>
      </c>
      <c r="E108" s="99">
        <v>0.44325999999999999</v>
      </c>
      <c r="F108" s="39">
        <v>7.0498199999999995</v>
      </c>
      <c r="G108" s="211">
        <v>10</v>
      </c>
      <c r="H108" s="39">
        <f t="shared" si="49"/>
        <v>0.17048461538461537</v>
      </c>
      <c r="I108" s="39"/>
      <c r="J108" s="38">
        <v>0</v>
      </c>
      <c r="K108" s="38">
        <v>0</v>
      </c>
      <c r="L108" s="40">
        <f t="shared" si="41"/>
        <v>0</v>
      </c>
      <c r="M108" s="40">
        <f t="shared" si="42"/>
        <v>0</v>
      </c>
      <c r="N108" s="41">
        <f>VLOOKUP(C108,'[1]MASTER DATA'!B:D,3,0)</f>
        <v>1.3</v>
      </c>
      <c r="O108" s="77">
        <f t="shared" si="50"/>
        <v>0</v>
      </c>
      <c r="P108" s="42">
        <f t="shared" si="51"/>
        <v>6.60656</v>
      </c>
      <c r="Q108" s="77">
        <f t="shared" si="48"/>
        <v>387.5164914497135</v>
      </c>
      <c r="R108" s="38"/>
      <c r="S108" s="38"/>
    </row>
    <row r="109" spans="2:29" x14ac:dyDescent="0.25">
      <c r="B109" s="38"/>
      <c r="C109" s="38" t="s">
        <v>97</v>
      </c>
      <c r="D109" s="38" t="s">
        <v>98</v>
      </c>
      <c r="E109" s="99">
        <v>35.396740000000001</v>
      </c>
      <c r="F109" s="39">
        <v>37.61824</v>
      </c>
      <c r="G109" s="211">
        <v>10</v>
      </c>
      <c r="H109" s="39">
        <f t="shared" si="49"/>
        <v>13.614130769230769</v>
      </c>
      <c r="I109" s="39"/>
      <c r="J109" s="38">
        <v>0</v>
      </c>
      <c r="K109" s="38">
        <v>0</v>
      </c>
      <c r="L109" s="40">
        <f t="shared" si="41"/>
        <v>11.39263076923077</v>
      </c>
      <c r="M109" s="40">
        <f t="shared" si="42"/>
        <v>0.43817810650887579</v>
      </c>
      <c r="N109" s="41">
        <f>VLOOKUP(C109,'[1]MASTER DATA'!B:D,3,0)</f>
        <v>1.3</v>
      </c>
      <c r="O109" s="77">
        <f t="shared" si="50"/>
        <v>337.06008192990441</v>
      </c>
      <c r="P109" s="42">
        <f t="shared" si="51"/>
        <v>13.614130769230769</v>
      </c>
      <c r="Q109" s="77">
        <f t="shared" si="48"/>
        <v>10</v>
      </c>
      <c r="R109" s="38"/>
      <c r="S109" s="38"/>
    </row>
    <row r="110" spans="2:29" x14ac:dyDescent="0.25">
      <c r="B110" s="38"/>
      <c r="C110" s="38" t="s">
        <v>446</v>
      </c>
      <c r="D110" s="38" t="s">
        <v>447</v>
      </c>
      <c r="E110" s="99">
        <v>0.5</v>
      </c>
      <c r="F110" s="39">
        <v>0</v>
      </c>
      <c r="G110" s="211">
        <v>10</v>
      </c>
      <c r="H110" s="39">
        <f t="shared" si="49"/>
        <v>0.19230769230769232</v>
      </c>
      <c r="I110" s="39"/>
      <c r="J110" s="38">
        <v>0</v>
      </c>
      <c r="K110" s="38">
        <v>0</v>
      </c>
      <c r="L110" s="40">
        <f t="shared" si="41"/>
        <v>0.69230769230769229</v>
      </c>
      <c r="M110" s="40">
        <f t="shared" si="42"/>
        <v>2.6627218934911243E-2</v>
      </c>
      <c r="N110" s="41">
        <f>VLOOKUP(C110,'[1]MASTER DATA'!B:D,3,0)</f>
        <v>1.3</v>
      </c>
      <c r="O110" s="77">
        <f t="shared" si="50"/>
        <v>20.482476103777881</v>
      </c>
      <c r="P110" s="42">
        <f t="shared" si="51"/>
        <v>0.19230769230769229</v>
      </c>
      <c r="Q110" s="77">
        <f t="shared" si="48"/>
        <v>9.9999999999999982</v>
      </c>
      <c r="R110" s="38"/>
      <c r="S110" s="38"/>
    </row>
    <row r="111" spans="2:29" x14ac:dyDescent="0.25">
      <c r="B111" s="38"/>
      <c r="C111" s="38" t="s">
        <v>263</v>
      </c>
      <c r="D111" s="38" t="s">
        <v>264</v>
      </c>
      <c r="E111" s="99">
        <v>0.20976</v>
      </c>
      <c r="F111" s="39">
        <v>0</v>
      </c>
      <c r="G111" s="211">
        <v>10</v>
      </c>
      <c r="H111" s="39">
        <f t="shared" si="49"/>
        <v>8.0676923076923063E-2</v>
      </c>
      <c r="I111" s="39"/>
      <c r="J111" s="38">
        <v>0</v>
      </c>
      <c r="K111" s="38">
        <v>0</v>
      </c>
      <c r="L111" s="40">
        <f t="shared" si="41"/>
        <v>0.29043692307692304</v>
      </c>
      <c r="M111" s="40">
        <f t="shared" si="42"/>
        <v>1.1170650887573963E-2</v>
      </c>
      <c r="N111" s="41">
        <f>VLOOKUP(C111,'[1]MASTER DATA'!B:D,3,0)</f>
        <v>1.4</v>
      </c>
      <c r="O111" s="77">
        <f t="shared" si="50"/>
        <v>7.9790363482671172</v>
      </c>
      <c r="P111" s="42">
        <f t="shared" si="51"/>
        <v>8.0676923076923035E-2</v>
      </c>
      <c r="Q111" s="77">
        <f t="shared" si="48"/>
        <v>9.9999999999999964</v>
      </c>
      <c r="R111" s="38"/>
      <c r="S111" s="38"/>
    </row>
    <row r="112" spans="2:29" x14ac:dyDescent="0.25">
      <c r="B112" s="38"/>
      <c r="C112" s="38" t="s">
        <v>265</v>
      </c>
      <c r="D112" s="38" t="s">
        <v>102</v>
      </c>
      <c r="E112" s="99">
        <v>77.3</v>
      </c>
      <c r="F112" s="39">
        <v>8.5537399999999995</v>
      </c>
      <c r="G112" s="211">
        <v>10</v>
      </c>
      <c r="H112" s="39">
        <f t="shared" si="49"/>
        <v>29.730769230769234</v>
      </c>
      <c r="I112" s="39"/>
      <c r="J112" s="38">
        <v>0</v>
      </c>
      <c r="K112" s="38">
        <v>0</v>
      </c>
      <c r="L112" s="40">
        <f t="shared" si="41"/>
        <v>98.477029230769233</v>
      </c>
      <c r="M112" s="40">
        <f t="shared" si="42"/>
        <v>3.787578047337278</v>
      </c>
      <c r="N112" s="41">
        <f>VLOOKUP(C112,'[1]MASTER DATA'!B:D,3,0)</f>
        <v>1.4</v>
      </c>
      <c r="O112" s="77">
        <f t="shared" si="50"/>
        <v>2705.4128909551987</v>
      </c>
      <c r="P112" s="42">
        <f t="shared" si="51"/>
        <v>29.730769230769241</v>
      </c>
      <c r="Q112" s="77">
        <f t="shared" si="48"/>
        <v>10.000000000000004</v>
      </c>
      <c r="R112" s="38"/>
      <c r="S112" s="38"/>
    </row>
    <row r="113" spans="2:19" x14ac:dyDescent="0.25">
      <c r="B113" s="38"/>
      <c r="C113" s="38" t="s">
        <v>266</v>
      </c>
      <c r="D113" s="38" t="s">
        <v>267</v>
      </c>
      <c r="E113" s="99">
        <v>0.47899999999999998</v>
      </c>
      <c r="F113" s="39">
        <v>0</v>
      </c>
      <c r="G113" s="211">
        <v>10</v>
      </c>
      <c r="H113" s="39">
        <f t="shared" si="49"/>
        <v>0.18423076923076925</v>
      </c>
      <c r="I113" s="39"/>
      <c r="J113" s="38">
        <v>0</v>
      </c>
      <c r="K113" s="38">
        <v>0</v>
      </c>
      <c r="L113" s="40">
        <f t="shared" si="41"/>
        <v>0.66323076923076929</v>
      </c>
      <c r="M113" s="40">
        <f t="shared" si="42"/>
        <v>2.5508875739644974E-2</v>
      </c>
      <c r="N113" s="41" t="e">
        <f>VLOOKUP(C113,'[1]MASTER DATA'!B:D,3,0)</f>
        <v>#N/A</v>
      </c>
      <c r="O113" s="77">
        <f t="shared" si="50"/>
        <v>0</v>
      </c>
      <c r="P113" s="42">
        <f t="shared" si="51"/>
        <v>0.18423076923076931</v>
      </c>
      <c r="Q113" s="77">
        <f t="shared" si="48"/>
        <v>10.000000000000004</v>
      </c>
      <c r="R113" s="38"/>
      <c r="S113" s="38"/>
    </row>
    <row r="114" spans="2:19" x14ac:dyDescent="0.25">
      <c r="B114" s="38"/>
      <c r="C114" s="38" t="s">
        <v>103</v>
      </c>
      <c r="D114" s="38" t="s">
        <v>104</v>
      </c>
      <c r="E114" s="99">
        <v>29</v>
      </c>
      <c r="F114" s="39">
        <v>15.17596</v>
      </c>
      <c r="G114" s="211">
        <v>10</v>
      </c>
      <c r="H114" s="39">
        <f t="shared" si="49"/>
        <v>11.153846153846153</v>
      </c>
      <c r="I114" s="39"/>
      <c r="J114" s="38">
        <v>0</v>
      </c>
      <c r="K114" s="38">
        <v>5</v>
      </c>
      <c r="L114" s="40">
        <f t="shared" si="41"/>
        <v>29.977886153846153</v>
      </c>
      <c r="M114" s="40">
        <f t="shared" si="42"/>
        <v>1.1529956213017751</v>
      </c>
      <c r="N114" s="41">
        <f>VLOOKUP(C114,'[1]MASTER DATA'!B:D,3,0)</f>
        <v>1.5</v>
      </c>
      <c r="O114" s="77">
        <f t="shared" si="50"/>
        <v>768.6637475345168</v>
      </c>
      <c r="P114" s="42">
        <f t="shared" si="51"/>
        <v>11.153846153846153</v>
      </c>
      <c r="Q114" s="77">
        <f t="shared" si="48"/>
        <v>10</v>
      </c>
      <c r="R114" s="38"/>
      <c r="S114" s="38"/>
    </row>
    <row r="115" spans="2:19" x14ac:dyDescent="0.25">
      <c r="B115" s="38"/>
      <c r="C115" s="38" t="s">
        <v>95</v>
      </c>
      <c r="D115" s="38" t="s">
        <v>96</v>
      </c>
      <c r="E115" s="99">
        <v>7.6739999999999989E-2</v>
      </c>
      <c r="F115" s="39">
        <v>1.9764200000000001</v>
      </c>
      <c r="G115" s="211">
        <v>10</v>
      </c>
      <c r="H115" s="39">
        <f t="shared" si="49"/>
        <v>2.951538461538461E-2</v>
      </c>
      <c r="I115" s="39"/>
      <c r="J115" s="38">
        <v>0</v>
      </c>
      <c r="K115" s="38">
        <v>5</v>
      </c>
      <c r="L115" s="40">
        <f t="shared" si="41"/>
        <v>3.1298353846153848</v>
      </c>
      <c r="M115" s="40">
        <f t="shared" si="42"/>
        <v>0.12037828402366865</v>
      </c>
      <c r="N115" s="41">
        <f>VLOOKUP(C115,'[1]MASTER DATA'!B:D,3,0)</f>
        <v>1.6</v>
      </c>
      <c r="O115" s="77">
        <f t="shared" si="50"/>
        <v>75.236427514792908</v>
      </c>
      <c r="P115" s="42">
        <f t="shared" si="51"/>
        <v>2.9515384615384874E-2</v>
      </c>
      <c r="Q115" s="77">
        <f t="shared" si="48"/>
        <v>10.000000000000089</v>
      </c>
      <c r="R115" s="38"/>
      <c r="S115" s="38"/>
    </row>
    <row r="116" spans="2:19" x14ac:dyDescent="0.25">
      <c r="B116" s="38"/>
      <c r="C116" s="38" t="s">
        <v>448</v>
      </c>
      <c r="D116" s="38" t="s">
        <v>449</v>
      </c>
      <c r="E116" s="99">
        <v>30.530419999999999</v>
      </c>
      <c r="F116" s="39">
        <v>27.86514</v>
      </c>
      <c r="G116" s="211">
        <v>10</v>
      </c>
      <c r="H116" s="39">
        <f t="shared" si="49"/>
        <v>11.742469230769231</v>
      </c>
      <c r="I116" s="39"/>
      <c r="J116" s="38">
        <v>0</v>
      </c>
      <c r="K116" s="38">
        <v>0</v>
      </c>
      <c r="L116" s="40">
        <f t="shared" si="41"/>
        <v>14.40774923076923</v>
      </c>
      <c r="M116" s="40">
        <f t="shared" si="42"/>
        <v>0.55414420118343188</v>
      </c>
      <c r="N116" s="41">
        <f>VLOOKUP(C116,'[1]MASTER DATA'!B:D,3,0)</f>
        <v>1.6</v>
      </c>
      <c r="O116" s="77">
        <f t="shared" si="50"/>
        <v>346.34012573964486</v>
      </c>
      <c r="P116" s="42">
        <f t="shared" si="51"/>
        <v>11.742469230769231</v>
      </c>
      <c r="Q116" s="77">
        <f>P116/(E116/$E$8)</f>
        <v>10</v>
      </c>
      <c r="R116" s="38"/>
      <c r="S116" s="38"/>
    </row>
    <row r="117" spans="2:19" x14ac:dyDescent="0.25">
      <c r="B117" s="38"/>
      <c r="C117" s="38" t="s">
        <v>450</v>
      </c>
      <c r="D117" s="38" t="s">
        <v>451</v>
      </c>
      <c r="E117" s="99">
        <v>42</v>
      </c>
      <c r="F117" s="39">
        <v>22.6051</v>
      </c>
      <c r="G117" s="211">
        <v>10</v>
      </c>
      <c r="H117" s="39">
        <f t="shared" si="49"/>
        <v>16.153846153846153</v>
      </c>
      <c r="I117" s="39"/>
      <c r="J117" s="38">
        <v>0</v>
      </c>
      <c r="K117" s="38">
        <v>5</v>
      </c>
      <c r="L117" s="40">
        <f t="shared" si="41"/>
        <v>40.548746153846153</v>
      </c>
      <c r="M117" s="40">
        <f t="shared" si="42"/>
        <v>1.5595671597633136</v>
      </c>
      <c r="N117" s="41">
        <f>VLOOKUP(C117,'[1]MASTER DATA'!B:D,3,0)</f>
        <v>1.7</v>
      </c>
      <c r="O117" s="77">
        <f t="shared" si="50"/>
        <v>917.3924469195963</v>
      </c>
      <c r="P117" s="42">
        <f t="shared" si="51"/>
        <v>16.153846153846153</v>
      </c>
      <c r="Q117" s="77">
        <f t="shared" ref="Q117:Q119" si="52">P117/(E117/$E$8)</f>
        <v>10</v>
      </c>
      <c r="R117" s="38"/>
      <c r="S117" s="38"/>
    </row>
    <row r="118" spans="2:19" x14ac:dyDescent="0.25">
      <c r="B118" s="38"/>
      <c r="C118" s="38" t="s">
        <v>452</v>
      </c>
      <c r="D118" s="38" t="s">
        <v>453</v>
      </c>
      <c r="E118" s="99">
        <v>40.999979999999994</v>
      </c>
      <c r="F118" s="39">
        <v>12.292939999999998</v>
      </c>
      <c r="G118" s="211">
        <v>10</v>
      </c>
      <c r="H118" s="39">
        <f t="shared" si="49"/>
        <v>15.769223076923073</v>
      </c>
      <c r="I118" s="39"/>
      <c r="J118" s="38">
        <v>0</v>
      </c>
      <c r="K118" s="38">
        <v>5</v>
      </c>
      <c r="L118" s="40">
        <f t="shared" si="41"/>
        <v>49.476263076923068</v>
      </c>
      <c r="M118" s="40">
        <f t="shared" si="42"/>
        <v>1.9029331952662718</v>
      </c>
      <c r="N118" s="41">
        <f>VLOOKUP(C118,'[1]MASTER DATA'!B:D,3,0)</f>
        <v>1.8</v>
      </c>
      <c r="O118" s="77">
        <f t="shared" si="50"/>
        <v>1057.185108481262</v>
      </c>
      <c r="P118" s="42">
        <f t="shared" si="51"/>
        <v>15.769223076923069</v>
      </c>
      <c r="Q118" s="77">
        <f t="shared" si="52"/>
        <v>9.9999999999999964</v>
      </c>
      <c r="R118" s="38"/>
      <c r="S118" s="38"/>
    </row>
    <row r="119" spans="2:19" x14ac:dyDescent="0.25">
      <c r="B119" s="38"/>
      <c r="C119" s="38" t="s">
        <v>454</v>
      </c>
      <c r="D119" s="38" t="s">
        <v>455</v>
      </c>
      <c r="E119" s="99">
        <v>33</v>
      </c>
      <c r="F119" s="39">
        <v>9.4041300000000003</v>
      </c>
      <c r="G119" s="211">
        <v>10</v>
      </c>
      <c r="H119" s="39">
        <f t="shared" si="49"/>
        <v>12.692307692307692</v>
      </c>
      <c r="I119" s="39"/>
      <c r="J119" s="38">
        <v>0</v>
      </c>
      <c r="K119" s="38">
        <v>0</v>
      </c>
      <c r="L119" s="40">
        <f t="shared" si="41"/>
        <v>36.288177692307691</v>
      </c>
      <c r="M119" s="40">
        <f t="shared" si="42"/>
        <v>1.3956991420118343</v>
      </c>
      <c r="N119" s="41">
        <f>VLOOKUP(C119,'[1]MASTER DATA'!B:D,3,0)</f>
        <v>1.9</v>
      </c>
      <c r="O119" s="77">
        <f t="shared" si="50"/>
        <v>734.57849579570234</v>
      </c>
      <c r="P119" s="42">
        <f t="shared" si="51"/>
        <v>12.692307692307693</v>
      </c>
      <c r="Q119" s="77">
        <f t="shared" si="52"/>
        <v>10.000000000000002</v>
      </c>
      <c r="R119" s="38"/>
      <c r="S119" s="38"/>
    </row>
    <row r="120" spans="2:19" x14ac:dyDescent="0.25">
      <c r="B120" s="38"/>
      <c r="C120" s="38" t="s">
        <v>456</v>
      </c>
      <c r="D120" s="38" t="s">
        <v>457</v>
      </c>
      <c r="E120" s="99">
        <v>26</v>
      </c>
      <c r="F120" s="39">
        <v>15.011749999999999</v>
      </c>
      <c r="G120" s="211">
        <v>10</v>
      </c>
      <c r="H120" s="39">
        <f t="shared" si="49"/>
        <v>10</v>
      </c>
      <c r="I120" s="39"/>
      <c r="J120" s="38">
        <v>0</v>
      </c>
      <c r="K120" s="38">
        <v>0</v>
      </c>
      <c r="L120" s="40">
        <f t="shared" si="41"/>
        <v>20.988250000000001</v>
      </c>
      <c r="M120" s="40">
        <f t="shared" si="42"/>
        <v>0.80724038461538461</v>
      </c>
      <c r="N120" s="41">
        <f>VLOOKUP(C120,'[1]MASTER DATA'!B:D,3,0)</f>
        <v>2</v>
      </c>
      <c r="O120" s="77">
        <f t="shared" si="50"/>
        <v>403.62019230769232</v>
      </c>
      <c r="P120" s="42">
        <f t="shared" si="51"/>
        <v>10</v>
      </c>
      <c r="Q120" s="77">
        <f t="shared" si="48"/>
        <v>10</v>
      </c>
      <c r="R120" s="38"/>
      <c r="S120" s="38"/>
    </row>
    <row r="121" spans="2:19" x14ac:dyDescent="0.25">
      <c r="B121" s="38"/>
      <c r="C121" s="38"/>
      <c r="D121" s="38"/>
      <c r="E121" s="99"/>
      <c r="F121" s="39"/>
      <c r="G121" s="211"/>
      <c r="H121" s="39">
        <f t="shared" si="49"/>
        <v>0</v>
      </c>
      <c r="I121" s="39"/>
      <c r="J121" s="38">
        <v>0</v>
      </c>
      <c r="K121" s="38">
        <v>0</v>
      </c>
      <c r="L121" s="40">
        <f t="shared" si="41"/>
        <v>0</v>
      </c>
      <c r="M121" s="40">
        <f t="shared" si="42"/>
        <v>0</v>
      </c>
      <c r="N121" s="41" t="e">
        <f>VLOOKUP(C121,'[1]MASTER DATA'!B:D,3,0)</f>
        <v>#N/A</v>
      </c>
      <c r="O121" s="77">
        <f t="shared" si="50"/>
        <v>0</v>
      </c>
      <c r="P121" s="42">
        <f t="shared" si="51"/>
        <v>0</v>
      </c>
      <c r="Q121" s="77" t="e">
        <f t="shared" si="48"/>
        <v>#DIV/0!</v>
      </c>
      <c r="R121" s="38"/>
      <c r="S121" s="38"/>
    </row>
    <row r="122" spans="2:19" x14ac:dyDescent="0.25">
      <c r="B122" s="38"/>
      <c r="C122" s="38"/>
      <c r="D122" s="38"/>
      <c r="E122" s="99"/>
      <c r="F122" s="39"/>
      <c r="G122" s="211"/>
      <c r="H122" s="39">
        <f t="shared" si="49"/>
        <v>0</v>
      </c>
      <c r="I122" s="39"/>
      <c r="J122" s="38">
        <v>0</v>
      </c>
      <c r="K122" s="38">
        <v>0</v>
      </c>
      <c r="L122" s="40">
        <f t="shared" si="41"/>
        <v>0</v>
      </c>
      <c r="M122" s="40">
        <f t="shared" si="42"/>
        <v>0</v>
      </c>
      <c r="N122" s="41" t="e">
        <f>VLOOKUP(C122,'[1]MASTER DATA'!B:D,3,0)</f>
        <v>#N/A</v>
      </c>
      <c r="O122" s="77">
        <f t="shared" si="50"/>
        <v>0</v>
      </c>
      <c r="P122" s="42">
        <f t="shared" si="51"/>
        <v>0</v>
      </c>
      <c r="Q122" s="77" t="e">
        <f t="shared" si="48"/>
        <v>#DIV/0!</v>
      </c>
      <c r="R122" s="38"/>
      <c r="S122" s="38"/>
    </row>
    <row r="123" spans="2:19" x14ac:dyDescent="0.25">
      <c r="B123" s="38"/>
      <c r="C123" s="38"/>
      <c r="D123" s="38"/>
      <c r="E123" s="99"/>
      <c r="F123" s="39"/>
      <c r="G123" s="211"/>
      <c r="H123" s="39">
        <f t="shared" si="49"/>
        <v>0</v>
      </c>
      <c r="I123" s="39"/>
      <c r="J123" s="38">
        <v>0</v>
      </c>
      <c r="K123" s="38">
        <v>0</v>
      </c>
      <c r="L123" s="40">
        <f t="shared" si="41"/>
        <v>0</v>
      </c>
      <c r="M123" s="40">
        <f t="shared" si="42"/>
        <v>0</v>
      </c>
      <c r="N123" s="41" t="e">
        <f>VLOOKUP(C123,'[1]MASTER DATA'!B:D,3,0)</f>
        <v>#N/A</v>
      </c>
      <c r="O123" s="77">
        <f t="shared" si="50"/>
        <v>0</v>
      </c>
      <c r="P123" s="42">
        <f t="shared" si="51"/>
        <v>0</v>
      </c>
      <c r="Q123" s="77" t="e">
        <f t="shared" si="48"/>
        <v>#DIV/0!</v>
      </c>
      <c r="R123" s="38"/>
      <c r="S123" s="38"/>
    </row>
    <row r="124" spans="2:19" x14ac:dyDescent="0.25">
      <c r="B124" s="38"/>
      <c r="C124" s="38"/>
      <c r="D124" s="38"/>
      <c r="E124" s="99"/>
      <c r="F124" s="39"/>
      <c r="G124" s="211"/>
      <c r="H124" s="39">
        <f t="shared" si="49"/>
        <v>0</v>
      </c>
      <c r="I124" s="39"/>
      <c r="J124" s="38">
        <v>0</v>
      </c>
      <c r="K124" s="38">
        <v>0</v>
      </c>
      <c r="L124" s="40">
        <f t="shared" si="41"/>
        <v>0</v>
      </c>
      <c r="M124" s="40">
        <f t="shared" si="42"/>
        <v>0</v>
      </c>
      <c r="N124" s="41" t="e">
        <f>VLOOKUP(C124,'[1]MASTER DATA'!B:D,3,0)</f>
        <v>#N/A</v>
      </c>
      <c r="O124" s="77">
        <f t="shared" si="50"/>
        <v>0</v>
      </c>
      <c r="P124" s="42">
        <f t="shared" si="51"/>
        <v>0</v>
      </c>
      <c r="Q124" s="77" t="e">
        <f t="shared" si="48"/>
        <v>#DIV/0!</v>
      </c>
      <c r="R124" s="38"/>
      <c r="S124" s="38"/>
    </row>
    <row r="125" spans="2:19" x14ac:dyDescent="0.25">
      <c r="B125" s="38"/>
      <c r="C125" s="38"/>
      <c r="D125" s="38"/>
      <c r="E125" s="99"/>
      <c r="F125" s="39"/>
      <c r="G125" s="211"/>
      <c r="H125" s="39">
        <f t="shared" si="49"/>
        <v>0</v>
      </c>
      <c r="I125" s="39"/>
      <c r="J125" s="38">
        <v>0</v>
      </c>
      <c r="K125" s="38">
        <v>0</v>
      </c>
      <c r="L125" s="40">
        <f t="shared" si="41"/>
        <v>0</v>
      </c>
      <c r="M125" s="40">
        <f t="shared" si="42"/>
        <v>0</v>
      </c>
      <c r="N125" s="41" t="e">
        <f>VLOOKUP(C125,'[1]MASTER DATA'!B:D,3,0)</f>
        <v>#N/A</v>
      </c>
      <c r="O125" s="77">
        <f t="shared" si="50"/>
        <v>0</v>
      </c>
      <c r="P125" s="42">
        <f t="shared" si="51"/>
        <v>0</v>
      </c>
      <c r="Q125" s="77" t="e">
        <f t="shared" si="48"/>
        <v>#DIV/0!</v>
      </c>
      <c r="R125" s="38"/>
      <c r="S125" s="38"/>
    </row>
    <row r="126" spans="2:19" x14ac:dyDescent="0.25">
      <c r="B126" s="38"/>
      <c r="C126" s="38"/>
      <c r="D126" s="38"/>
      <c r="E126" s="99"/>
      <c r="F126" s="39"/>
      <c r="G126" s="38"/>
      <c r="H126" s="39">
        <f t="shared" si="49"/>
        <v>0</v>
      </c>
      <c r="I126" s="39"/>
      <c r="J126" s="38"/>
      <c r="K126" s="38"/>
      <c r="L126" s="40">
        <f t="shared" si="41"/>
        <v>0</v>
      </c>
      <c r="M126" s="40">
        <f t="shared" si="42"/>
        <v>0</v>
      </c>
      <c r="N126" s="41" t="e">
        <f>VLOOKUP(C126,'[1]MASTER DATA'!B:D,3,0)</f>
        <v>#N/A</v>
      </c>
      <c r="O126" s="77">
        <f t="shared" si="50"/>
        <v>0</v>
      </c>
      <c r="P126" s="42">
        <f t="shared" si="51"/>
        <v>0</v>
      </c>
      <c r="Q126" s="77" t="e">
        <f t="shared" si="48"/>
        <v>#DIV/0!</v>
      </c>
      <c r="R126" s="38"/>
      <c r="S126" s="38"/>
    </row>
    <row r="127" spans="2:19" x14ac:dyDescent="0.25">
      <c r="B127" s="38"/>
      <c r="C127" s="38"/>
      <c r="D127" s="38"/>
      <c r="E127" s="99"/>
      <c r="F127" s="39"/>
      <c r="G127" s="38"/>
      <c r="H127" s="39">
        <f t="shared" si="49"/>
        <v>0</v>
      </c>
      <c r="I127" s="39"/>
      <c r="J127" s="38"/>
      <c r="K127" s="38"/>
      <c r="L127" s="40">
        <f t="shared" si="41"/>
        <v>0</v>
      </c>
      <c r="M127" s="40">
        <f t="shared" si="42"/>
        <v>0</v>
      </c>
      <c r="N127" s="41" t="e">
        <f>VLOOKUP(C127,'[1]MASTER DATA'!B:D,3,0)</f>
        <v>#N/A</v>
      </c>
      <c r="O127" s="77">
        <f t="shared" si="50"/>
        <v>0</v>
      </c>
      <c r="P127" s="42">
        <f t="shared" si="51"/>
        <v>0</v>
      </c>
      <c r="Q127" s="77" t="e">
        <f t="shared" si="48"/>
        <v>#DIV/0!</v>
      </c>
      <c r="R127" s="38"/>
      <c r="S127" s="38"/>
    </row>
    <row r="128" spans="2:19" x14ac:dyDescent="0.25">
      <c r="B128" s="38"/>
      <c r="C128" s="38"/>
      <c r="D128" s="38"/>
      <c r="E128" s="99"/>
      <c r="F128" s="39"/>
      <c r="G128" s="38"/>
      <c r="H128" s="39">
        <f t="shared" si="49"/>
        <v>0</v>
      </c>
      <c r="I128" s="39"/>
      <c r="J128" s="38"/>
      <c r="K128" s="38"/>
      <c r="L128" s="40">
        <f t="shared" si="41"/>
        <v>0</v>
      </c>
      <c r="M128" s="40">
        <f t="shared" si="42"/>
        <v>0</v>
      </c>
      <c r="N128" s="41" t="e">
        <f>VLOOKUP(C128,'[1]MASTER DATA'!B:D,3,0)</f>
        <v>#N/A</v>
      </c>
      <c r="O128" s="77">
        <f t="shared" si="50"/>
        <v>0</v>
      </c>
      <c r="P128" s="42">
        <f t="shared" si="51"/>
        <v>0</v>
      </c>
      <c r="Q128" s="77" t="e">
        <f>P128/(E128/$E$8)</f>
        <v>#DIV/0!</v>
      </c>
      <c r="R128" s="38"/>
      <c r="S128" s="38"/>
    </row>
    <row r="129" spans="2:19" x14ac:dyDescent="0.25">
      <c r="B129" s="38"/>
      <c r="C129" s="38"/>
      <c r="D129" s="38"/>
      <c r="E129" s="99"/>
      <c r="F129" s="39"/>
      <c r="G129" s="38"/>
      <c r="H129" s="39">
        <f t="shared" si="49"/>
        <v>0</v>
      </c>
      <c r="I129" s="39"/>
      <c r="J129" s="38"/>
      <c r="K129" s="38"/>
      <c r="L129" s="40">
        <f t="shared" si="41"/>
        <v>0</v>
      </c>
      <c r="M129" s="40">
        <f t="shared" si="42"/>
        <v>0</v>
      </c>
      <c r="N129" s="41" t="e">
        <f>VLOOKUP(C129,'[1]MASTER DATA'!B:D,3,0)</f>
        <v>#N/A</v>
      </c>
      <c r="O129" s="77">
        <f t="shared" si="50"/>
        <v>0</v>
      </c>
      <c r="P129" s="42">
        <f t="shared" si="51"/>
        <v>0</v>
      </c>
      <c r="Q129" s="77" t="e">
        <f t="shared" ref="Q129:Q131" si="53">P129/(E129/$E$8)</f>
        <v>#DIV/0!</v>
      </c>
      <c r="R129" s="38"/>
      <c r="S129" s="38"/>
    </row>
    <row r="130" spans="2:19" x14ac:dyDescent="0.25">
      <c r="B130" s="38"/>
      <c r="C130" s="38"/>
      <c r="D130" s="38"/>
      <c r="E130" s="99"/>
      <c r="F130" s="39"/>
      <c r="G130" s="38"/>
      <c r="H130" s="39">
        <f t="shared" si="49"/>
        <v>0</v>
      </c>
      <c r="I130" s="39"/>
      <c r="J130" s="38"/>
      <c r="K130" s="38"/>
      <c r="L130" s="40">
        <f t="shared" si="41"/>
        <v>0</v>
      </c>
      <c r="M130" s="40">
        <f t="shared" si="42"/>
        <v>0</v>
      </c>
      <c r="N130" s="41" t="e">
        <f>VLOOKUP(C130,'[1]MASTER DATA'!B:D,3,0)</f>
        <v>#N/A</v>
      </c>
      <c r="O130" s="77">
        <f t="shared" si="50"/>
        <v>0</v>
      </c>
      <c r="P130" s="42">
        <f t="shared" si="51"/>
        <v>0</v>
      </c>
      <c r="Q130" s="77" t="e">
        <f t="shared" si="53"/>
        <v>#DIV/0!</v>
      </c>
      <c r="R130" s="38"/>
      <c r="S130" s="38"/>
    </row>
    <row r="131" spans="2:19" x14ac:dyDescent="0.25">
      <c r="B131" s="38"/>
      <c r="C131" s="38"/>
      <c r="D131" s="38"/>
      <c r="E131" s="99"/>
      <c r="F131" s="39"/>
      <c r="G131" s="38"/>
      <c r="H131" s="39">
        <f t="shared" si="49"/>
        <v>0</v>
      </c>
      <c r="I131" s="39"/>
      <c r="J131" s="38"/>
      <c r="K131" s="38"/>
      <c r="L131" s="40">
        <f t="shared" si="41"/>
        <v>0</v>
      </c>
      <c r="M131" s="40">
        <f t="shared" si="42"/>
        <v>0</v>
      </c>
      <c r="N131" s="41" t="e">
        <f>VLOOKUP(C131,'[1]MASTER DATA'!B:D,3,0)</f>
        <v>#N/A</v>
      </c>
      <c r="O131" s="77">
        <f t="shared" si="50"/>
        <v>0</v>
      </c>
      <c r="P131" s="42">
        <f t="shared" si="51"/>
        <v>0</v>
      </c>
      <c r="Q131" s="77" t="e">
        <f t="shared" si="53"/>
        <v>#DIV/0!</v>
      </c>
      <c r="R131" s="38"/>
      <c r="S131" s="38"/>
    </row>
    <row r="132" spans="2:19" x14ac:dyDescent="0.25">
      <c r="B132" s="38"/>
      <c r="C132" s="38"/>
      <c r="D132" s="38"/>
      <c r="E132" s="39"/>
      <c r="F132" s="39"/>
      <c r="G132" s="38"/>
      <c r="H132" s="39"/>
      <c r="I132" s="39"/>
      <c r="J132" s="38"/>
      <c r="K132" s="38"/>
      <c r="L132" s="40"/>
      <c r="M132" s="40"/>
      <c r="N132" s="38"/>
      <c r="O132" s="77"/>
      <c r="P132" s="42"/>
      <c r="Q132" s="77"/>
      <c r="R132" s="38"/>
      <c r="S132" s="38"/>
    </row>
    <row r="133" spans="2:19" x14ac:dyDescent="0.25">
      <c r="B133" s="38"/>
      <c r="C133" s="38"/>
      <c r="D133" s="38"/>
      <c r="E133" s="39"/>
      <c r="F133" s="39"/>
      <c r="G133" s="38"/>
      <c r="H133" s="39"/>
      <c r="I133" s="39"/>
      <c r="J133" s="38"/>
      <c r="K133" s="38"/>
      <c r="L133" s="40"/>
      <c r="M133" s="40"/>
      <c r="N133" s="38"/>
      <c r="O133" s="77"/>
      <c r="P133" s="42"/>
      <c r="Q133" s="77"/>
      <c r="R133" s="38"/>
      <c r="S133" s="38"/>
    </row>
    <row r="134" spans="2:19" x14ac:dyDescent="0.25">
      <c r="B134" s="38"/>
      <c r="C134" s="38"/>
      <c r="D134" s="38"/>
      <c r="E134" s="39"/>
      <c r="F134" s="39"/>
      <c r="G134" s="38"/>
      <c r="H134" s="39"/>
      <c r="I134" s="39"/>
      <c r="J134" s="38"/>
      <c r="K134" s="38"/>
      <c r="L134" s="40"/>
      <c r="M134" s="40"/>
      <c r="N134" s="38"/>
      <c r="O134" s="77"/>
      <c r="P134" s="42"/>
      <c r="Q134" s="77"/>
      <c r="R134" s="38"/>
      <c r="S134" s="38"/>
    </row>
    <row r="135" spans="2:19" x14ac:dyDescent="0.25">
      <c r="B135" s="38"/>
      <c r="C135" s="38"/>
      <c r="D135" s="38"/>
      <c r="E135" s="39"/>
      <c r="F135" s="39"/>
      <c r="G135" s="38"/>
      <c r="H135" s="39"/>
      <c r="I135" s="39"/>
      <c r="J135" s="38"/>
      <c r="K135" s="38"/>
      <c r="L135" s="40"/>
      <c r="M135" s="40"/>
      <c r="N135" s="38"/>
      <c r="O135" s="77"/>
      <c r="P135" s="42"/>
      <c r="Q135" s="77"/>
      <c r="R135" s="38"/>
      <c r="S135" s="38"/>
    </row>
    <row r="136" spans="2:19" x14ac:dyDescent="0.25">
      <c r="B136" s="38"/>
      <c r="C136" s="38"/>
      <c r="D136" s="58" t="s">
        <v>122</v>
      </c>
      <c r="E136" s="59">
        <f>SUM(E84:E135)</f>
        <v>502.92555599999992</v>
      </c>
      <c r="F136" s="59">
        <f>SUM(F84:F135)</f>
        <v>599.96084000000008</v>
      </c>
      <c r="G136" s="58"/>
      <c r="H136" s="59">
        <f>SUM(H84:H135)</f>
        <v>178.56166153846152</v>
      </c>
      <c r="I136" s="59"/>
      <c r="J136" s="59">
        <f t="shared" ref="J136:P136" si="54">SUM(J84:J135)</f>
        <v>0</v>
      </c>
      <c r="K136" s="59">
        <f t="shared" si="54"/>
        <v>35</v>
      </c>
      <c r="L136" s="59">
        <f t="shared" si="54"/>
        <v>354.43956984615386</v>
      </c>
      <c r="M136" s="59">
        <f t="shared" si="54"/>
        <v>13.632291147928992</v>
      </c>
      <c r="N136" s="59" t="e">
        <f t="shared" si="54"/>
        <v>#N/A</v>
      </c>
      <c r="O136" s="78">
        <f t="shared" si="54"/>
        <v>9532.0065671483917</v>
      </c>
      <c r="P136" s="78">
        <f t="shared" si="54"/>
        <v>416.47485384615374</v>
      </c>
      <c r="Q136" s="78"/>
      <c r="R136" s="59"/>
      <c r="S136" s="38"/>
    </row>
    <row r="137" spans="2:19" x14ac:dyDescent="0.25">
      <c r="B137" s="52"/>
      <c r="C137" s="52" t="s">
        <v>121</v>
      </c>
      <c r="D137" s="53"/>
      <c r="E137" s="53"/>
      <c r="F137" s="53"/>
      <c r="G137" s="53"/>
      <c r="H137" s="54"/>
      <c r="I137" s="54"/>
      <c r="J137" s="53"/>
      <c r="K137" s="53"/>
      <c r="L137" s="53"/>
      <c r="M137" s="53"/>
      <c r="N137" s="53"/>
      <c r="O137" s="80"/>
      <c r="P137" s="53"/>
      <c r="Q137" s="80"/>
      <c r="R137" s="44"/>
      <c r="S137" s="38"/>
    </row>
    <row r="138" spans="2:19" x14ac:dyDescent="0.25">
      <c r="B138" s="38" t="s">
        <v>106</v>
      </c>
      <c r="C138" s="38" t="s">
        <v>458</v>
      </c>
      <c r="D138" s="38" t="s">
        <v>459</v>
      </c>
      <c r="E138" s="39">
        <v>9</v>
      </c>
      <c r="F138" s="99">
        <v>0.39144000000000001</v>
      </c>
      <c r="G138" s="47">
        <v>7</v>
      </c>
      <c r="H138" s="48">
        <f t="shared" ref="H138:H172" si="55">(E138/$E$8)*G138</f>
        <v>2.4230769230769229</v>
      </c>
      <c r="I138" s="48"/>
      <c r="J138" s="38">
        <v>0</v>
      </c>
      <c r="K138" s="38">
        <v>0</v>
      </c>
      <c r="L138" s="40">
        <f t="shared" ref="L138:L172" si="56">IF(((E138-F138)+(H138)-(J138)+(K138))&lt;0,0,((E138-F138)+(H138)-(J138)+(K138)))</f>
        <v>11.031636923076924</v>
      </c>
      <c r="M138" s="187">
        <f>IF(L138&lt;0,0,L138/$E$9)/R138</f>
        <v>0.53036715976331361</v>
      </c>
      <c r="N138" s="47">
        <v>1.6</v>
      </c>
      <c r="O138" s="77">
        <f>IF(B138=$V$75,M138*1000/SUMIF($W$75:$W$83,$V$75,$X$75:$X$83)/N138,0)</f>
        <v>1336.6107856938345</v>
      </c>
      <c r="P138" s="42">
        <f t="shared" ref="P138:P200" si="57">L138+F138+J138-K138-E138</f>
        <v>2.4230769230769234</v>
      </c>
      <c r="Q138" s="77">
        <f t="shared" ref="Q138" si="58">P138/(E138/$E$8)</f>
        <v>7.0000000000000009</v>
      </c>
      <c r="R138" s="93">
        <v>0.8</v>
      </c>
      <c r="S138" s="188"/>
    </row>
    <row r="139" spans="2:19" x14ac:dyDescent="0.25">
      <c r="B139" s="38" t="s">
        <v>125</v>
      </c>
      <c r="C139" s="38" t="s">
        <v>272</v>
      </c>
      <c r="D139" s="38" t="s">
        <v>273</v>
      </c>
      <c r="E139" s="39">
        <v>7.4426199999999998</v>
      </c>
      <c r="F139" s="99">
        <v>9.9627400000000019</v>
      </c>
      <c r="G139" s="47">
        <v>7</v>
      </c>
      <c r="H139" s="48">
        <f t="shared" si="55"/>
        <v>2.0037823076923078</v>
      </c>
      <c r="I139" s="48"/>
      <c r="J139" s="38">
        <v>50</v>
      </c>
      <c r="K139" s="38">
        <v>0</v>
      </c>
      <c r="L139" s="40">
        <f t="shared" si="56"/>
        <v>0</v>
      </c>
      <c r="M139" s="187">
        <f t="shared" ref="M139:M172" si="59">IF(L139&lt;0,0,L139/$E$9)/R139</f>
        <v>0</v>
      </c>
      <c r="N139" s="47">
        <v>1.6</v>
      </c>
      <c r="O139" s="77">
        <f t="shared" ref="O139:O172" si="60">IF(B139=$V$75,M139*1000/SUMIF($W$75:$W$83,$V$75,$X$75:$X$83)/N139,0)</f>
        <v>0</v>
      </c>
      <c r="P139" s="42">
        <f t="shared" si="57"/>
        <v>52.520120000000006</v>
      </c>
      <c r="Q139" s="77">
        <f t="shared" si="43"/>
        <v>183.47344349167366</v>
      </c>
      <c r="R139" s="93">
        <v>1</v>
      </c>
      <c r="S139" s="188">
        <f t="shared" ref="S139:S171" si="61">(100%-R139)*M139</f>
        <v>0</v>
      </c>
    </row>
    <row r="140" spans="2:19" x14ac:dyDescent="0.25">
      <c r="B140" s="38" t="s">
        <v>125</v>
      </c>
      <c r="C140" s="38" t="s">
        <v>460</v>
      </c>
      <c r="D140" s="38" t="s">
        <v>461</v>
      </c>
      <c r="E140" s="39">
        <v>0.36</v>
      </c>
      <c r="F140" s="99">
        <v>9.4959999999999989E-2</v>
      </c>
      <c r="G140" s="47">
        <v>7</v>
      </c>
      <c r="H140" s="48">
        <f t="shared" si="55"/>
        <v>9.6923076923076917E-2</v>
      </c>
      <c r="I140" s="48"/>
      <c r="J140" s="38">
        <v>0</v>
      </c>
      <c r="K140" s="38">
        <v>0</v>
      </c>
      <c r="L140" s="40">
        <f t="shared" si="56"/>
        <v>0.36196307692307694</v>
      </c>
      <c r="M140" s="187">
        <f t="shared" si="59"/>
        <v>1.5820064550833783E-2</v>
      </c>
      <c r="N140" s="47">
        <v>1.6</v>
      </c>
      <c r="O140" s="77">
        <f t="shared" si="60"/>
        <v>0</v>
      </c>
      <c r="P140" s="42">
        <f t="shared" si="57"/>
        <v>9.6923076923076945E-2</v>
      </c>
      <c r="Q140" s="77">
        <f t="shared" si="43"/>
        <v>7.0000000000000027</v>
      </c>
      <c r="R140" s="93">
        <v>0.88</v>
      </c>
      <c r="S140" s="188">
        <f t="shared" si="61"/>
        <v>1.8984077461000539E-3</v>
      </c>
    </row>
    <row r="141" spans="2:19" x14ac:dyDescent="0.25">
      <c r="B141" s="38" t="s">
        <v>125</v>
      </c>
      <c r="C141" s="38" t="s">
        <v>274</v>
      </c>
      <c r="D141" s="38" t="s">
        <v>275</v>
      </c>
      <c r="E141" s="39">
        <v>0.47099999999999997</v>
      </c>
      <c r="F141" s="99">
        <v>6.2E-2</v>
      </c>
      <c r="G141" s="47">
        <v>7</v>
      </c>
      <c r="H141" s="48">
        <f t="shared" si="55"/>
        <v>0.12680769230769229</v>
      </c>
      <c r="I141" s="48"/>
      <c r="J141" s="38">
        <v>0</v>
      </c>
      <c r="K141" s="38">
        <v>0</v>
      </c>
      <c r="L141" s="40">
        <f t="shared" si="56"/>
        <v>0.53580769230769221</v>
      </c>
      <c r="M141" s="187">
        <f t="shared" si="59"/>
        <v>5.4231547804422291E-2</v>
      </c>
      <c r="N141" s="47">
        <v>1.6</v>
      </c>
      <c r="O141" s="77">
        <f t="shared" si="60"/>
        <v>0</v>
      </c>
      <c r="P141" s="42">
        <f t="shared" si="57"/>
        <v>0.12680769230769229</v>
      </c>
      <c r="Q141" s="77">
        <f t="shared" si="43"/>
        <v>7</v>
      </c>
      <c r="R141" s="93">
        <v>0.38</v>
      </c>
      <c r="S141" s="188">
        <f t="shared" si="61"/>
        <v>3.3623559638741821E-2</v>
      </c>
    </row>
    <row r="142" spans="2:19" x14ac:dyDescent="0.25">
      <c r="B142" s="38" t="s">
        <v>125</v>
      </c>
      <c r="C142" s="38" t="s">
        <v>462</v>
      </c>
      <c r="D142" s="38" t="s">
        <v>463</v>
      </c>
      <c r="E142" s="39">
        <v>0.05</v>
      </c>
      <c r="F142" s="99">
        <v>6.5939999999999999E-2</v>
      </c>
      <c r="G142" s="47">
        <v>7</v>
      </c>
      <c r="H142" s="48">
        <f t="shared" si="55"/>
        <v>1.3461538461538462E-2</v>
      </c>
      <c r="I142" s="48"/>
      <c r="J142" s="38">
        <v>0</v>
      </c>
      <c r="K142" s="38">
        <v>0</v>
      </c>
      <c r="L142" s="40">
        <f t="shared" si="56"/>
        <v>0</v>
      </c>
      <c r="M142" s="187">
        <f t="shared" si="59"/>
        <v>0</v>
      </c>
      <c r="N142" s="47">
        <v>1.6</v>
      </c>
      <c r="O142" s="77">
        <f t="shared" si="60"/>
        <v>0</v>
      </c>
      <c r="P142" s="42">
        <f t="shared" si="57"/>
        <v>1.5939999999999996E-2</v>
      </c>
      <c r="Q142" s="77">
        <f t="shared" si="43"/>
        <v>8.2887999999999966</v>
      </c>
      <c r="R142" s="93">
        <v>0.38</v>
      </c>
      <c r="S142" s="188">
        <f t="shared" si="61"/>
        <v>0</v>
      </c>
    </row>
    <row r="143" spans="2:19" x14ac:dyDescent="0.25">
      <c r="B143" s="38" t="s">
        <v>125</v>
      </c>
      <c r="C143" s="38" t="s">
        <v>464</v>
      </c>
      <c r="D143" s="38" t="s">
        <v>465</v>
      </c>
      <c r="E143" s="39">
        <v>1.2E-2</v>
      </c>
      <c r="F143" s="99">
        <v>1.0619999999999999E-2</v>
      </c>
      <c r="G143" s="47">
        <v>7</v>
      </c>
      <c r="H143" s="48">
        <f t="shared" si="55"/>
        <v>3.2307692307692306E-3</v>
      </c>
      <c r="I143" s="48"/>
      <c r="J143" s="38">
        <v>0</v>
      </c>
      <c r="K143" s="38">
        <v>0</v>
      </c>
      <c r="L143" s="40">
        <f t="shared" si="56"/>
        <v>4.6107692307692317E-3</v>
      </c>
      <c r="M143" s="187">
        <f t="shared" si="59"/>
        <v>1.7733727810650892E-4</v>
      </c>
      <c r="N143" s="47">
        <v>1.6</v>
      </c>
      <c r="O143" s="77">
        <f t="shared" si="60"/>
        <v>0</v>
      </c>
      <c r="P143" s="42">
        <f t="shared" si="57"/>
        <v>3.2307692307692315E-3</v>
      </c>
      <c r="Q143" s="77">
        <f t="shared" si="43"/>
        <v>7.0000000000000018</v>
      </c>
      <c r="R143" s="93">
        <v>1</v>
      </c>
      <c r="S143" s="188">
        <f t="shared" si="61"/>
        <v>0</v>
      </c>
    </row>
    <row r="144" spans="2:19" x14ac:dyDescent="0.25">
      <c r="B144" s="38" t="s">
        <v>125</v>
      </c>
      <c r="C144" s="38" t="s">
        <v>466</v>
      </c>
      <c r="D144" s="38" t="s">
        <v>467</v>
      </c>
      <c r="E144" s="39">
        <v>1.1373200000000001</v>
      </c>
      <c r="F144" s="99">
        <v>0.18465999999999999</v>
      </c>
      <c r="G144" s="47">
        <v>7</v>
      </c>
      <c r="H144" s="48">
        <f t="shared" si="55"/>
        <v>0.30620153846153847</v>
      </c>
      <c r="I144" s="48"/>
      <c r="J144" s="38">
        <v>0</v>
      </c>
      <c r="K144" s="38">
        <v>0</v>
      </c>
      <c r="L144" s="40">
        <f t="shared" si="56"/>
        <v>1.2588615384615385</v>
      </c>
      <c r="M144" s="187">
        <f t="shared" si="59"/>
        <v>4.8417751479289943E-2</v>
      </c>
      <c r="N144" s="47">
        <v>1.6</v>
      </c>
      <c r="O144" s="77">
        <f t="shared" si="60"/>
        <v>0</v>
      </c>
      <c r="P144" s="42">
        <f t="shared" si="57"/>
        <v>0.30620153846153841</v>
      </c>
      <c r="Q144" s="77">
        <f t="shared" si="43"/>
        <v>6.9999999999999982</v>
      </c>
      <c r="R144" s="93">
        <v>1</v>
      </c>
      <c r="S144" s="188">
        <f t="shared" si="61"/>
        <v>0</v>
      </c>
    </row>
    <row r="145" spans="2:22" x14ac:dyDescent="0.25">
      <c r="B145" s="38" t="s">
        <v>125</v>
      </c>
      <c r="C145" s="38" t="s">
        <v>468</v>
      </c>
      <c r="D145" s="38" t="s">
        <v>469</v>
      </c>
      <c r="E145" s="39">
        <v>15</v>
      </c>
      <c r="F145" s="99">
        <v>0</v>
      </c>
      <c r="G145" s="47">
        <v>7</v>
      </c>
      <c r="H145" s="48">
        <f t="shared" si="55"/>
        <v>4.0384615384615383</v>
      </c>
      <c r="I145" s="48"/>
      <c r="J145" s="38">
        <v>0</v>
      </c>
      <c r="K145" s="38">
        <v>0</v>
      </c>
      <c r="L145" s="40">
        <f t="shared" si="56"/>
        <v>19.03846153846154</v>
      </c>
      <c r="M145" s="187">
        <f t="shared" si="59"/>
        <v>1.5918446102392589</v>
      </c>
      <c r="N145" s="47">
        <v>1.6</v>
      </c>
      <c r="O145" s="77">
        <f t="shared" si="60"/>
        <v>0</v>
      </c>
      <c r="P145" s="42">
        <f t="shared" si="57"/>
        <v>4.0384615384615401</v>
      </c>
      <c r="Q145" s="77">
        <f t="shared" si="43"/>
        <v>7.0000000000000036</v>
      </c>
      <c r="R145" s="93">
        <v>0.46</v>
      </c>
      <c r="S145" s="188">
        <f t="shared" si="61"/>
        <v>0.85959608952919986</v>
      </c>
    </row>
    <row r="146" spans="2:22" x14ac:dyDescent="0.25">
      <c r="B146" s="38" t="s">
        <v>106</v>
      </c>
      <c r="C146" s="38" t="s">
        <v>105</v>
      </c>
      <c r="D146" s="38" t="s">
        <v>106</v>
      </c>
      <c r="E146" s="39">
        <v>12.911918999999997</v>
      </c>
      <c r="F146" s="99">
        <v>15.968699999999998</v>
      </c>
      <c r="G146" s="47">
        <v>7</v>
      </c>
      <c r="H146" s="48">
        <f t="shared" si="55"/>
        <v>3.4762858846153839</v>
      </c>
      <c r="I146" s="48"/>
      <c r="J146" s="38">
        <v>10</v>
      </c>
      <c r="K146" s="38">
        <v>0</v>
      </c>
      <c r="L146" s="40">
        <f t="shared" si="56"/>
        <v>0</v>
      </c>
      <c r="M146" s="187">
        <f t="shared" si="59"/>
        <v>0</v>
      </c>
      <c r="N146" s="47">
        <v>1.6</v>
      </c>
      <c r="O146" s="77">
        <f t="shared" si="60"/>
        <v>0</v>
      </c>
      <c r="P146" s="42">
        <f t="shared" si="57"/>
        <v>13.056781000000001</v>
      </c>
      <c r="Q146" s="77">
        <f t="shared" si="43"/>
        <v>26.291700404873986</v>
      </c>
      <c r="R146" s="109">
        <v>1</v>
      </c>
      <c r="S146" s="188">
        <f t="shared" si="61"/>
        <v>0</v>
      </c>
      <c r="V146" s="72"/>
    </row>
    <row r="147" spans="2:22" x14ac:dyDescent="0.25">
      <c r="B147" s="38" t="s">
        <v>106</v>
      </c>
      <c r="C147" s="38" t="s">
        <v>115</v>
      </c>
      <c r="D147" s="38" t="s">
        <v>116</v>
      </c>
      <c r="E147" s="39">
        <v>0.25588</v>
      </c>
      <c r="F147" s="99">
        <v>15.74715</v>
      </c>
      <c r="G147" s="47">
        <v>7</v>
      </c>
      <c r="H147" s="48">
        <f t="shared" si="55"/>
        <v>6.8890769230769228E-2</v>
      </c>
      <c r="I147" s="48"/>
      <c r="J147" s="38">
        <v>0</v>
      </c>
      <c r="K147" s="38">
        <v>0</v>
      </c>
      <c r="L147" s="40">
        <f t="shared" si="56"/>
        <v>0</v>
      </c>
      <c r="M147" s="187">
        <f t="shared" si="59"/>
        <v>0</v>
      </c>
      <c r="N147" s="47">
        <v>1.6</v>
      </c>
      <c r="O147" s="77">
        <f t="shared" si="60"/>
        <v>0</v>
      </c>
      <c r="P147" s="42">
        <f t="shared" si="57"/>
        <v>15.49127</v>
      </c>
      <c r="Q147" s="77">
        <f t="shared" si="43"/>
        <v>1574.0699546662499</v>
      </c>
      <c r="R147" s="93">
        <v>1</v>
      </c>
      <c r="S147" s="188">
        <f t="shared" si="61"/>
        <v>0</v>
      </c>
    </row>
    <row r="148" spans="2:22" x14ac:dyDescent="0.25">
      <c r="B148" s="38" t="s">
        <v>106</v>
      </c>
      <c r="C148" s="38" t="s">
        <v>107</v>
      </c>
      <c r="D148" s="38" t="s">
        <v>108</v>
      </c>
      <c r="E148" s="39">
        <v>0.71650000000000003</v>
      </c>
      <c r="F148" s="99">
        <v>0.11438</v>
      </c>
      <c r="G148" s="47">
        <v>7</v>
      </c>
      <c r="H148" s="48">
        <f t="shared" si="55"/>
        <v>0.19290384615384615</v>
      </c>
      <c r="I148" s="48"/>
      <c r="J148" s="38">
        <v>0</v>
      </c>
      <c r="K148" s="38">
        <v>0</v>
      </c>
      <c r="L148" s="40">
        <f t="shared" si="56"/>
        <v>0.79502384615384614</v>
      </c>
      <c r="M148" s="187">
        <f t="shared" si="59"/>
        <v>3.0577840236686391E-2</v>
      </c>
      <c r="N148" s="47">
        <v>1.6</v>
      </c>
      <c r="O148" s="77">
        <f t="shared" si="60"/>
        <v>77.0610893061653</v>
      </c>
      <c r="P148" s="42">
        <f t="shared" si="57"/>
        <v>0.19290384615384615</v>
      </c>
      <c r="Q148" s="77">
        <f t="shared" si="43"/>
        <v>7</v>
      </c>
      <c r="R148" s="93">
        <v>1</v>
      </c>
      <c r="S148" s="188">
        <f t="shared" si="61"/>
        <v>0</v>
      </c>
      <c r="V148" s="72"/>
    </row>
    <row r="149" spans="2:22" x14ac:dyDescent="0.25">
      <c r="B149" s="38" t="s">
        <v>125</v>
      </c>
      <c r="C149" s="38" t="s">
        <v>282</v>
      </c>
      <c r="D149" s="38" t="s">
        <v>125</v>
      </c>
      <c r="E149" s="39">
        <v>6.5980000000000008</v>
      </c>
      <c r="F149" s="99">
        <v>0.96534000000000009</v>
      </c>
      <c r="G149" s="47">
        <v>7</v>
      </c>
      <c r="H149" s="48">
        <f t="shared" si="55"/>
        <v>1.7763846153846157</v>
      </c>
      <c r="I149" s="48"/>
      <c r="J149" s="38">
        <v>0</v>
      </c>
      <c r="K149" s="38">
        <v>0</v>
      </c>
      <c r="L149" s="40">
        <f t="shared" si="56"/>
        <v>7.4090446153846159</v>
      </c>
      <c r="M149" s="187">
        <f t="shared" si="59"/>
        <v>0.28496325443786985</v>
      </c>
      <c r="N149" s="47">
        <v>1.6</v>
      </c>
      <c r="O149" s="77">
        <f t="shared" si="60"/>
        <v>0</v>
      </c>
      <c r="P149" s="42">
        <f t="shared" si="57"/>
        <v>1.7763846153846146</v>
      </c>
      <c r="Q149" s="77">
        <f t="shared" si="43"/>
        <v>6.9999999999999956</v>
      </c>
      <c r="R149" s="93">
        <v>1</v>
      </c>
      <c r="S149" s="188">
        <f t="shared" si="61"/>
        <v>0</v>
      </c>
    </row>
    <row r="150" spans="2:22" x14ac:dyDescent="0.25">
      <c r="B150" s="38" t="s">
        <v>106</v>
      </c>
      <c r="C150" s="38" t="s">
        <v>574</v>
      </c>
      <c r="D150" s="38" t="s">
        <v>575</v>
      </c>
      <c r="E150" s="39">
        <v>5.5E-2</v>
      </c>
      <c r="F150" s="99">
        <v>1.452E-2</v>
      </c>
      <c r="G150" s="47">
        <v>7</v>
      </c>
      <c r="H150" s="48">
        <f t="shared" si="55"/>
        <v>1.4807692307692306E-2</v>
      </c>
      <c r="I150" s="48"/>
      <c r="J150" s="38">
        <v>0</v>
      </c>
      <c r="K150" s="38">
        <v>0</v>
      </c>
      <c r="L150" s="40">
        <f t="shared" si="56"/>
        <v>5.5287692307692309E-2</v>
      </c>
      <c r="M150" s="187">
        <f t="shared" si="59"/>
        <v>4.3396932737592084E-3</v>
      </c>
      <c r="N150" s="47">
        <v>1.6</v>
      </c>
      <c r="O150" s="77">
        <f t="shared" si="60"/>
        <v>10.93672700040123</v>
      </c>
      <c r="P150" s="42">
        <f t="shared" si="57"/>
        <v>1.4807692307692306E-2</v>
      </c>
      <c r="Q150" s="77">
        <f t="shared" si="43"/>
        <v>7</v>
      </c>
      <c r="R150" s="93">
        <v>0.49</v>
      </c>
      <c r="S150" s="188">
        <f t="shared" si="61"/>
        <v>2.2132435696171964E-3</v>
      </c>
    </row>
    <row r="151" spans="2:22" x14ac:dyDescent="0.25">
      <c r="B151" s="38" t="s">
        <v>106</v>
      </c>
      <c r="C151" s="38" t="s">
        <v>109</v>
      </c>
      <c r="D151" s="38" t="s">
        <v>110</v>
      </c>
      <c r="E151" s="39">
        <v>4.9500000000000002E-2</v>
      </c>
      <c r="F151" s="99">
        <v>0.53500000000000003</v>
      </c>
      <c r="G151" s="47">
        <v>7</v>
      </c>
      <c r="H151" s="48">
        <f t="shared" si="55"/>
        <v>1.3326923076923078E-2</v>
      </c>
      <c r="I151" s="48"/>
      <c r="J151" s="38">
        <v>0</v>
      </c>
      <c r="K151" s="38">
        <v>0</v>
      </c>
      <c r="L151" s="40">
        <f t="shared" si="56"/>
        <v>0</v>
      </c>
      <c r="M151" s="187">
        <f t="shared" si="59"/>
        <v>0</v>
      </c>
      <c r="N151" s="47">
        <v>1.6</v>
      </c>
      <c r="O151" s="77">
        <f t="shared" si="60"/>
        <v>0</v>
      </c>
      <c r="P151" s="42">
        <f t="shared" si="57"/>
        <v>0.48550000000000004</v>
      </c>
      <c r="Q151" s="77">
        <f t="shared" ref="Q151:Q172" si="62">P151/(E151/$E$8)</f>
        <v>255.01010101010101</v>
      </c>
      <c r="R151" s="93">
        <v>1</v>
      </c>
      <c r="S151" s="188">
        <f t="shared" si="61"/>
        <v>0</v>
      </c>
    </row>
    <row r="152" spans="2:22" x14ac:dyDescent="0.25">
      <c r="B152" s="38" t="s">
        <v>106</v>
      </c>
      <c r="C152" s="38" t="s">
        <v>470</v>
      </c>
      <c r="D152" s="38" t="s">
        <v>471</v>
      </c>
      <c r="E152" s="39">
        <v>4.7739999999999998E-2</v>
      </c>
      <c r="F152" s="99">
        <v>0.10072</v>
      </c>
      <c r="G152" s="47">
        <v>7</v>
      </c>
      <c r="H152" s="48">
        <f t="shared" si="55"/>
        <v>1.2853076923076922E-2</v>
      </c>
      <c r="I152" s="48"/>
      <c r="J152" s="38">
        <v>0</v>
      </c>
      <c r="K152" s="38">
        <v>0</v>
      </c>
      <c r="L152" s="40">
        <f t="shared" si="56"/>
        <v>0</v>
      </c>
      <c r="M152" s="187">
        <f t="shared" si="59"/>
        <v>0</v>
      </c>
      <c r="N152" s="47">
        <v>1.6</v>
      </c>
      <c r="O152" s="77">
        <f t="shared" si="60"/>
        <v>0</v>
      </c>
      <c r="P152" s="42">
        <f t="shared" si="57"/>
        <v>5.2980000000000006E-2</v>
      </c>
      <c r="Q152" s="77">
        <f t="shared" si="62"/>
        <v>28.853791369920408</v>
      </c>
      <c r="R152" s="93">
        <v>1</v>
      </c>
      <c r="S152" s="188">
        <f t="shared" si="61"/>
        <v>0</v>
      </c>
    </row>
    <row r="153" spans="2:22" x14ac:dyDescent="0.25">
      <c r="B153" s="38" t="s">
        <v>106</v>
      </c>
      <c r="C153" s="38" t="s">
        <v>472</v>
      </c>
      <c r="D153" s="38" t="s">
        <v>473</v>
      </c>
      <c r="E153" s="39">
        <v>0.33076</v>
      </c>
      <c r="F153" s="99">
        <v>2.086E-2</v>
      </c>
      <c r="G153" s="47">
        <v>7</v>
      </c>
      <c r="H153" s="48">
        <f t="shared" si="55"/>
        <v>8.9050769230769225E-2</v>
      </c>
      <c r="I153" s="48"/>
      <c r="J153" s="38">
        <v>0</v>
      </c>
      <c r="K153" s="38">
        <v>0</v>
      </c>
      <c r="L153" s="40">
        <f t="shared" si="56"/>
        <v>0.39895076923076922</v>
      </c>
      <c r="M153" s="187">
        <f t="shared" si="59"/>
        <v>1.5344260355029586E-2</v>
      </c>
      <c r="N153" s="47">
        <v>1.6</v>
      </c>
      <c r="O153" s="77">
        <f t="shared" si="60"/>
        <v>38.670010975376975</v>
      </c>
      <c r="P153" s="42">
        <f t="shared" si="57"/>
        <v>8.9050769230769211E-2</v>
      </c>
      <c r="Q153" s="77">
        <f t="shared" si="62"/>
        <v>6.9999999999999982</v>
      </c>
      <c r="R153" s="93">
        <v>1</v>
      </c>
      <c r="S153" s="188">
        <f t="shared" si="61"/>
        <v>0</v>
      </c>
    </row>
    <row r="154" spans="2:22" x14ac:dyDescent="0.25">
      <c r="B154" s="38" t="s">
        <v>106</v>
      </c>
      <c r="C154" s="38" t="s">
        <v>474</v>
      </c>
      <c r="D154" s="38" t="s">
        <v>475</v>
      </c>
      <c r="E154" s="39">
        <v>0.09</v>
      </c>
      <c r="F154" s="99">
        <v>2.4E-2</v>
      </c>
      <c r="G154" s="47">
        <v>7</v>
      </c>
      <c r="H154" s="48">
        <f t="shared" si="55"/>
        <v>2.4230769230769229E-2</v>
      </c>
      <c r="I154" s="48"/>
      <c r="J154" s="38">
        <v>0</v>
      </c>
      <c r="K154" s="38">
        <v>0</v>
      </c>
      <c r="L154" s="40">
        <f t="shared" si="56"/>
        <v>9.0230769230769226E-2</v>
      </c>
      <c r="M154" s="187">
        <f t="shared" si="59"/>
        <v>7.0824779615988407E-3</v>
      </c>
      <c r="N154" s="47">
        <v>1.6</v>
      </c>
      <c r="O154" s="77">
        <f t="shared" si="60"/>
        <v>17.848986798384175</v>
      </c>
      <c r="P154" s="42">
        <f t="shared" si="57"/>
        <v>2.4230769230769222E-2</v>
      </c>
      <c r="Q154" s="77">
        <f t="shared" si="62"/>
        <v>6.9999999999999982</v>
      </c>
      <c r="R154" s="93">
        <v>0.49</v>
      </c>
      <c r="S154" s="188">
        <f t="shared" si="61"/>
        <v>3.612063760415409E-3</v>
      </c>
    </row>
    <row r="155" spans="2:22" x14ac:dyDescent="0.25">
      <c r="B155" s="38" t="s">
        <v>329</v>
      </c>
      <c r="C155" s="38" t="s">
        <v>285</v>
      </c>
      <c r="D155" s="38" t="s">
        <v>286</v>
      </c>
      <c r="E155" s="39">
        <v>5.4835000000000003</v>
      </c>
      <c r="F155" s="99">
        <v>4.8714599999999999</v>
      </c>
      <c r="G155" s="47">
        <v>7</v>
      </c>
      <c r="H155" s="48">
        <f t="shared" si="55"/>
        <v>1.4763269230769231</v>
      </c>
      <c r="I155" s="48"/>
      <c r="J155" s="38">
        <v>0</v>
      </c>
      <c r="K155" s="38">
        <v>0</v>
      </c>
      <c r="L155" s="40">
        <f t="shared" si="56"/>
        <v>2.0883669230769235</v>
      </c>
      <c r="M155" s="187">
        <f t="shared" si="59"/>
        <v>0.16064360946745565</v>
      </c>
      <c r="N155" s="47">
        <v>1.6</v>
      </c>
      <c r="O155" s="77">
        <f t="shared" si="60"/>
        <v>0</v>
      </c>
      <c r="P155" s="42">
        <f t="shared" si="57"/>
        <v>1.4763269230769227</v>
      </c>
      <c r="Q155" s="77">
        <f t="shared" si="62"/>
        <v>6.9999999999999982</v>
      </c>
      <c r="R155" s="93">
        <v>0.5</v>
      </c>
      <c r="S155" s="188">
        <f t="shared" si="61"/>
        <v>8.0321804733727825E-2</v>
      </c>
    </row>
    <row r="156" spans="2:22" x14ac:dyDescent="0.25">
      <c r="B156" s="38" t="s">
        <v>329</v>
      </c>
      <c r="C156" s="38" t="s">
        <v>476</v>
      </c>
      <c r="D156" s="38" t="s">
        <v>477</v>
      </c>
      <c r="E156" s="39">
        <v>3</v>
      </c>
      <c r="F156" s="99">
        <v>0.17427999999999999</v>
      </c>
      <c r="G156" s="47">
        <v>7</v>
      </c>
      <c r="H156" s="48">
        <f t="shared" si="55"/>
        <v>0.80769230769230771</v>
      </c>
      <c r="I156" s="48"/>
      <c r="J156" s="38">
        <v>0</v>
      </c>
      <c r="K156" s="38">
        <v>0</v>
      </c>
      <c r="L156" s="40">
        <f t="shared" si="56"/>
        <v>3.6334123076923079</v>
      </c>
      <c r="M156" s="187">
        <f t="shared" si="59"/>
        <v>0.13974662721893491</v>
      </c>
      <c r="N156" s="47">
        <v>1.6</v>
      </c>
      <c r="O156" s="77">
        <f t="shared" si="60"/>
        <v>0</v>
      </c>
      <c r="P156" s="42">
        <f t="shared" si="57"/>
        <v>0.80769230769230793</v>
      </c>
      <c r="Q156" s="77">
        <f t="shared" si="62"/>
        <v>7.0000000000000018</v>
      </c>
      <c r="R156" s="93">
        <v>1</v>
      </c>
      <c r="S156" s="188">
        <f t="shared" si="61"/>
        <v>0</v>
      </c>
    </row>
    <row r="157" spans="2:22" x14ac:dyDescent="0.25">
      <c r="B157" s="38" t="s">
        <v>329</v>
      </c>
      <c r="C157" s="38" t="s">
        <v>478</v>
      </c>
      <c r="D157" s="38" t="s">
        <v>479</v>
      </c>
      <c r="E157" s="39">
        <v>29.378979999999995</v>
      </c>
      <c r="F157" s="99">
        <v>37.354800000000004</v>
      </c>
      <c r="G157" s="47">
        <v>7</v>
      </c>
      <c r="H157" s="48">
        <f t="shared" si="55"/>
        <v>7.909725384615383</v>
      </c>
      <c r="I157" s="48"/>
      <c r="J157" s="38">
        <v>0</v>
      </c>
      <c r="K157" s="38">
        <v>0</v>
      </c>
      <c r="L157" s="40">
        <f t="shared" si="56"/>
        <v>0</v>
      </c>
      <c r="M157" s="187">
        <f t="shared" si="59"/>
        <v>0</v>
      </c>
      <c r="N157" s="47">
        <v>1.6</v>
      </c>
      <c r="O157" s="77">
        <f t="shared" si="60"/>
        <v>0</v>
      </c>
      <c r="P157" s="42">
        <f t="shared" si="57"/>
        <v>7.9758200000000095</v>
      </c>
      <c r="Q157" s="77">
        <f t="shared" si="62"/>
        <v>7.0584928407997927</v>
      </c>
      <c r="R157" s="93">
        <v>0.46</v>
      </c>
      <c r="S157" s="188">
        <f t="shared" si="61"/>
        <v>0</v>
      </c>
    </row>
    <row r="158" spans="2:22" x14ac:dyDescent="0.25">
      <c r="B158" s="38" t="s">
        <v>329</v>
      </c>
      <c r="C158" s="38" t="s">
        <v>287</v>
      </c>
      <c r="D158" s="38" t="s">
        <v>288</v>
      </c>
      <c r="E158" s="39">
        <v>5.3917999999999999</v>
      </c>
      <c r="F158" s="99">
        <v>3.22444</v>
      </c>
      <c r="G158" s="47">
        <v>7</v>
      </c>
      <c r="H158" s="48">
        <f t="shared" si="55"/>
        <v>1.4516384615384614</v>
      </c>
      <c r="I158" s="48"/>
      <c r="J158" s="38">
        <v>0</v>
      </c>
      <c r="K158" s="38">
        <v>0</v>
      </c>
      <c r="L158" s="40">
        <f t="shared" si="56"/>
        <v>3.6189984615384612</v>
      </c>
      <c r="M158" s="187">
        <f t="shared" si="59"/>
        <v>0.13919224852071005</v>
      </c>
      <c r="N158" s="47">
        <v>1.6</v>
      </c>
      <c r="O158" s="77">
        <f t="shared" si="60"/>
        <v>0</v>
      </c>
      <c r="P158" s="42">
        <f t="shared" si="57"/>
        <v>1.4516384615384617</v>
      </c>
      <c r="Q158" s="77">
        <f t="shared" si="62"/>
        <v>7.0000000000000009</v>
      </c>
      <c r="R158" s="93">
        <v>1</v>
      </c>
      <c r="S158" s="188">
        <f t="shared" si="61"/>
        <v>0</v>
      </c>
    </row>
    <row r="159" spans="2:22" x14ac:dyDescent="0.25">
      <c r="B159" s="38" t="s">
        <v>290</v>
      </c>
      <c r="C159" s="38" t="s">
        <v>289</v>
      </c>
      <c r="D159" s="38" t="s">
        <v>290</v>
      </c>
      <c r="E159" s="39">
        <v>3.9366820000000002</v>
      </c>
      <c r="F159" s="99">
        <v>5.4891000000000005</v>
      </c>
      <c r="G159" s="47">
        <v>7</v>
      </c>
      <c r="H159" s="48">
        <f t="shared" si="55"/>
        <v>1.0598759230769232</v>
      </c>
      <c r="I159" s="48"/>
      <c r="J159" s="38">
        <v>0</v>
      </c>
      <c r="K159" s="38">
        <v>0</v>
      </c>
      <c r="L159" s="40">
        <f t="shared" si="56"/>
        <v>0</v>
      </c>
      <c r="M159" s="187">
        <f t="shared" si="59"/>
        <v>0</v>
      </c>
      <c r="N159" s="47">
        <v>1.6</v>
      </c>
      <c r="O159" s="77">
        <f t="shared" si="60"/>
        <v>0</v>
      </c>
      <c r="P159" s="42">
        <f t="shared" si="57"/>
        <v>1.5524180000000003</v>
      </c>
      <c r="Q159" s="77">
        <f t="shared" si="62"/>
        <v>10.253017134734277</v>
      </c>
      <c r="R159" s="93">
        <v>1</v>
      </c>
      <c r="S159" s="188">
        <f t="shared" si="61"/>
        <v>0</v>
      </c>
    </row>
    <row r="160" spans="2:22" x14ac:dyDescent="0.25">
      <c r="B160" s="38" t="s">
        <v>106</v>
      </c>
      <c r="C160" s="38" t="s">
        <v>480</v>
      </c>
      <c r="D160" s="38" t="s">
        <v>481</v>
      </c>
      <c r="E160" s="39">
        <v>24.5</v>
      </c>
      <c r="F160" s="99">
        <v>0.74657999999999991</v>
      </c>
      <c r="G160" s="47">
        <v>7</v>
      </c>
      <c r="H160" s="48">
        <f t="shared" si="55"/>
        <v>6.5961538461538458</v>
      </c>
      <c r="I160" s="48"/>
      <c r="J160" s="38">
        <v>0</v>
      </c>
      <c r="K160" s="38">
        <v>0</v>
      </c>
      <c r="L160" s="40">
        <f t="shared" si="56"/>
        <v>30.349573846153845</v>
      </c>
      <c r="M160" s="187">
        <f t="shared" si="59"/>
        <v>2.3345826035502957</v>
      </c>
      <c r="N160" s="47">
        <v>1.6</v>
      </c>
      <c r="O160" s="77">
        <f>IF(B160=$V$75,M160*1000/SUMIF($W$75:$W$83,$V$75,$X$75:$X$83)/N160,0)</f>
        <v>5883.5247065279618</v>
      </c>
      <c r="P160" s="42">
        <f t="shared" si="57"/>
        <v>6.5961538461538467</v>
      </c>
      <c r="Q160" s="77">
        <f t="shared" si="62"/>
        <v>7.0000000000000009</v>
      </c>
      <c r="R160" s="93">
        <v>0.5</v>
      </c>
      <c r="S160" s="188">
        <f t="shared" si="61"/>
        <v>1.1672913017751478</v>
      </c>
    </row>
    <row r="161" spans="2:19" x14ac:dyDescent="0.25">
      <c r="B161" s="38" t="s">
        <v>125</v>
      </c>
      <c r="C161" s="38" t="s">
        <v>482</v>
      </c>
      <c r="D161" s="38" t="s">
        <v>483</v>
      </c>
      <c r="E161" s="39">
        <v>5.126E-2</v>
      </c>
      <c r="F161" s="99">
        <v>2.2460000000000001E-2</v>
      </c>
      <c r="G161" s="47">
        <v>7</v>
      </c>
      <c r="H161" s="48">
        <f t="shared" si="55"/>
        <v>1.3800769230769231E-2</v>
      </c>
      <c r="I161" s="48"/>
      <c r="J161" s="38">
        <v>0</v>
      </c>
      <c r="K161" s="38">
        <v>0</v>
      </c>
      <c r="L161" s="40">
        <f t="shared" si="56"/>
        <v>4.2600769230769234E-2</v>
      </c>
      <c r="M161" s="187">
        <f t="shared" si="59"/>
        <v>1.6384911242603552E-3</v>
      </c>
      <c r="N161" s="47">
        <v>1.6</v>
      </c>
      <c r="O161" s="77">
        <f t="shared" si="60"/>
        <v>0</v>
      </c>
      <c r="P161" s="42">
        <f t="shared" si="57"/>
        <v>1.3800769230769228E-2</v>
      </c>
      <c r="Q161" s="77">
        <f t="shared" si="62"/>
        <v>6.9999999999999982</v>
      </c>
      <c r="R161" s="93">
        <v>1</v>
      </c>
      <c r="S161" s="188">
        <f t="shared" si="61"/>
        <v>0</v>
      </c>
    </row>
    <row r="162" spans="2:19" x14ac:dyDescent="0.25">
      <c r="B162" s="38" t="s">
        <v>125</v>
      </c>
      <c r="C162" s="38" t="s">
        <v>484</v>
      </c>
      <c r="D162" s="38" t="s">
        <v>485</v>
      </c>
      <c r="E162" s="39">
        <v>7</v>
      </c>
      <c r="F162" s="99">
        <v>1.0450200000000001</v>
      </c>
      <c r="G162" s="47">
        <v>7</v>
      </c>
      <c r="H162" s="48">
        <f t="shared" si="55"/>
        <v>1.8846153846153846</v>
      </c>
      <c r="I162" s="48"/>
      <c r="J162" s="38">
        <v>0</v>
      </c>
      <c r="K162" s="38">
        <v>0</v>
      </c>
      <c r="L162" s="40">
        <f t="shared" si="56"/>
        <v>7.8395953846153841</v>
      </c>
      <c r="M162" s="187">
        <f t="shared" si="59"/>
        <v>0.30152289940828403</v>
      </c>
      <c r="N162" s="47">
        <v>1.6</v>
      </c>
      <c r="O162" s="77">
        <f t="shared" si="60"/>
        <v>0</v>
      </c>
      <c r="P162" s="42">
        <f t="shared" si="57"/>
        <v>1.8846153846153832</v>
      </c>
      <c r="Q162" s="77">
        <f t="shared" si="62"/>
        <v>6.9999999999999956</v>
      </c>
      <c r="R162" s="93">
        <v>1</v>
      </c>
      <c r="S162" s="188"/>
    </row>
    <row r="163" spans="2:19" x14ac:dyDescent="0.25">
      <c r="B163" s="38" t="s">
        <v>129</v>
      </c>
      <c r="C163" s="38" t="s">
        <v>291</v>
      </c>
      <c r="D163" s="38" t="s">
        <v>292</v>
      </c>
      <c r="E163" s="39">
        <v>2E-3</v>
      </c>
      <c r="F163" s="99">
        <v>0</v>
      </c>
      <c r="G163" s="47">
        <v>7</v>
      </c>
      <c r="H163" s="48">
        <f t="shared" si="55"/>
        <v>5.3846153846153844E-4</v>
      </c>
      <c r="I163" s="48"/>
      <c r="J163" s="38">
        <v>0</v>
      </c>
      <c r="K163" s="38">
        <v>0</v>
      </c>
      <c r="L163" s="40">
        <f t="shared" si="56"/>
        <v>2.5384615384615385E-3</v>
      </c>
      <c r="M163" s="187">
        <f t="shared" si="59"/>
        <v>2.2189349112426034E-4</v>
      </c>
      <c r="N163" s="47">
        <v>1.6</v>
      </c>
      <c r="O163" s="77">
        <f t="shared" si="60"/>
        <v>0</v>
      </c>
      <c r="P163" s="42">
        <f t="shared" si="57"/>
        <v>5.3846153846153844E-4</v>
      </c>
      <c r="Q163" s="77">
        <f t="shared" si="62"/>
        <v>6.9999999999999991</v>
      </c>
      <c r="R163" s="93">
        <v>0.44</v>
      </c>
      <c r="S163" s="188">
        <f t="shared" ref="S163:S164" si="63">(100%-R163)*M163</f>
        <v>1.2426035502958581E-4</v>
      </c>
    </row>
    <row r="164" spans="2:19" x14ac:dyDescent="0.25">
      <c r="B164" s="38" t="s">
        <v>106</v>
      </c>
      <c r="C164" s="38" t="s">
        <v>486</v>
      </c>
      <c r="D164" s="38" t="s">
        <v>487</v>
      </c>
      <c r="E164" s="39">
        <v>0.28999999999999998</v>
      </c>
      <c r="F164" s="99">
        <v>1.3839599999999999</v>
      </c>
      <c r="G164" s="47">
        <v>7</v>
      </c>
      <c r="H164" s="48">
        <f t="shared" si="55"/>
        <v>7.8076923076923072E-2</v>
      </c>
      <c r="I164" s="48"/>
      <c r="J164" s="38">
        <v>0</v>
      </c>
      <c r="K164" s="38">
        <v>0</v>
      </c>
      <c r="L164" s="40">
        <f t="shared" si="56"/>
        <v>0</v>
      </c>
      <c r="M164" s="187">
        <f t="shared" si="59"/>
        <v>0</v>
      </c>
      <c r="N164" s="47">
        <v>1.6</v>
      </c>
      <c r="O164" s="77">
        <f t="shared" si="60"/>
        <v>0</v>
      </c>
      <c r="P164" s="42">
        <f t="shared" si="57"/>
        <v>1.0939599999999998</v>
      </c>
      <c r="Q164" s="77">
        <f t="shared" si="62"/>
        <v>98.079172413793088</v>
      </c>
      <c r="R164" s="93">
        <v>1</v>
      </c>
      <c r="S164" s="188">
        <f t="shared" si="63"/>
        <v>0</v>
      </c>
    </row>
    <row r="165" spans="2:19" x14ac:dyDescent="0.25">
      <c r="B165" s="38" t="s">
        <v>125</v>
      </c>
      <c r="C165" s="38" t="s">
        <v>488</v>
      </c>
      <c r="D165" s="38" t="s">
        <v>489</v>
      </c>
      <c r="E165" s="39">
        <v>6.0900000000000003E-2</v>
      </c>
      <c r="F165" s="99">
        <v>1.0699999999999999E-2</v>
      </c>
      <c r="G165" s="47">
        <v>7</v>
      </c>
      <c r="H165" s="48">
        <f t="shared" si="55"/>
        <v>1.6396153846153848E-2</v>
      </c>
      <c r="I165" s="48"/>
      <c r="J165" s="38">
        <v>0</v>
      </c>
      <c r="K165" s="38">
        <v>0</v>
      </c>
      <c r="L165" s="40">
        <f t="shared" si="56"/>
        <v>6.6596153846153847E-2</v>
      </c>
      <c r="M165" s="187">
        <f t="shared" si="59"/>
        <v>2.5613905325443786E-3</v>
      </c>
      <c r="N165" s="47">
        <v>1.6</v>
      </c>
      <c r="O165" s="77">
        <f t="shared" si="60"/>
        <v>0</v>
      </c>
      <c r="P165" s="42">
        <f t="shared" si="57"/>
        <v>1.6396153846153845E-2</v>
      </c>
      <c r="Q165" s="77">
        <f t="shared" si="62"/>
        <v>6.9999999999999991</v>
      </c>
      <c r="R165" s="93">
        <v>1</v>
      </c>
      <c r="S165" s="188">
        <f t="shared" si="61"/>
        <v>0</v>
      </c>
    </row>
    <row r="166" spans="2:19" x14ac:dyDescent="0.25">
      <c r="B166" s="38" t="s">
        <v>125</v>
      </c>
      <c r="C166" s="38" t="s">
        <v>490</v>
      </c>
      <c r="D166" s="38" t="s">
        <v>491</v>
      </c>
      <c r="E166" s="39">
        <v>8</v>
      </c>
      <c r="F166" s="99">
        <v>2.2796599999999998</v>
      </c>
      <c r="G166" s="47">
        <v>7</v>
      </c>
      <c r="H166" s="48">
        <f t="shared" si="55"/>
        <v>2.1538461538461542</v>
      </c>
      <c r="I166" s="48"/>
      <c r="J166" s="38">
        <v>0</v>
      </c>
      <c r="K166" s="38">
        <v>0</v>
      </c>
      <c r="L166" s="40">
        <f t="shared" si="56"/>
        <v>7.8741861538461544</v>
      </c>
      <c r="M166" s="187">
        <f t="shared" si="59"/>
        <v>0.30285331360946749</v>
      </c>
      <c r="N166" s="47">
        <v>1.6</v>
      </c>
      <c r="O166" s="77">
        <f t="shared" si="60"/>
        <v>0</v>
      </c>
      <c r="P166" s="42">
        <f t="shared" si="57"/>
        <v>2.1538461538461533</v>
      </c>
      <c r="Q166" s="77">
        <f t="shared" si="62"/>
        <v>6.9999999999999982</v>
      </c>
      <c r="R166" s="93">
        <v>1</v>
      </c>
      <c r="S166" s="188">
        <f t="shared" si="61"/>
        <v>0</v>
      </c>
    </row>
    <row r="167" spans="2:19" x14ac:dyDescent="0.25">
      <c r="B167" s="38" t="s">
        <v>106</v>
      </c>
      <c r="C167" s="38" t="s">
        <v>492</v>
      </c>
      <c r="D167" s="38" t="s">
        <v>493</v>
      </c>
      <c r="E167" s="39">
        <v>2.4107599999999998</v>
      </c>
      <c r="F167" s="99">
        <v>3.3244000000000002</v>
      </c>
      <c r="G167" s="47">
        <v>7</v>
      </c>
      <c r="H167" s="48">
        <f t="shared" si="55"/>
        <v>0.64905076923076921</v>
      </c>
      <c r="I167" s="48"/>
      <c r="J167" s="38">
        <v>0</v>
      </c>
      <c r="K167" s="38">
        <v>0</v>
      </c>
      <c r="L167" s="40">
        <f t="shared" si="56"/>
        <v>0</v>
      </c>
      <c r="M167" s="187">
        <f t="shared" si="59"/>
        <v>0</v>
      </c>
      <c r="N167" s="47">
        <v>1.6</v>
      </c>
      <c r="O167" s="77">
        <f t="shared" si="60"/>
        <v>0</v>
      </c>
      <c r="P167" s="42">
        <f t="shared" si="57"/>
        <v>0.91364000000000045</v>
      </c>
      <c r="Q167" s="77">
        <f t="shared" si="62"/>
        <v>9.8535897393353196</v>
      </c>
      <c r="R167" s="93">
        <v>1</v>
      </c>
      <c r="S167" s="188">
        <f t="shared" si="61"/>
        <v>0</v>
      </c>
    </row>
    <row r="168" spans="2:19" x14ac:dyDescent="0.25">
      <c r="B168" s="38" t="s">
        <v>125</v>
      </c>
      <c r="C168" s="38" t="s">
        <v>494</v>
      </c>
      <c r="D168" s="38" t="s">
        <v>495</v>
      </c>
      <c r="E168" s="39">
        <v>2.4</v>
      </c>
      <c r="F168" s="99">
        <v>1.4535400000000001</v>
      </c>
      <c r="G168" s="47">
        <v>7</v>
      </c>
      <c r="H168" s="48">
        <f t="shared" si="55"/>
        <v>0.64615384615384608</v>
      </c>
      <c r="I168" s="48"/>
      <c r="J168" s="38">
        <v>0</v>
      </c>
      <c r="K168" s="38">
        <v>0</v>
      </c>
      <c r="L168" s="40">
        <f t="shared" si="56"/>
        <v>1.5926138461538459</v>
      </c>
      <c r="M168" s="187">
        <f t="shared" si="59"/>
        <v>6.1254378698224844E-2</v>
      </c>
      <c r="N168" s="47">
        <v>1.6</v>
      </c>
      <c r="O168" s="77">
        <f t="shared" si="60"/>
        <v>0</v>
      </c>
      <c r="P168" s="42">
        <f t="shared" si="57"/>
        <v>0.64615384615384608</v>
      </c>
      <c r="Q168" s="77">
        <f t="shared" si="62"/>
        <v>7</v>
      </c>
      <c r="R168" s="93">
        <v>1</v>
      </c>
      <c r="S168" s="188">
        <f t="shared" si="61"/>
        <v>0</v>
      </c>
    </row>
    <row r="169" spans="2:19" x14ac:dyDescent="0.25">
      <c r="B169" s="38" t="s">
        <v>125</v>
      </c>
      <c r="C169" s="38" t="s">
        <v>496</v>
      </c>
      <c r="D169" s="38" t="s">
        <v>497</v>
      </c>
      <c r="E169" s="39">
        <v>0.90027999999999997</v>
      </c>
      <c r="F169" s="99">
        <v>0.30201999999999996</v>
      </c>
      <c r="G169" s="47">
        <v>7</v>
      </c>
      <c r="H169" s="48">
        <f t="shared" si="55"/>
        <v>0.24238307692307692</v>
      </c>
      <c r="I169" s="48"/>
      <c r="J169" s="38">
        <v>0</v>
      </c>
      <c r="K169" s="38">
        <v>0</v>
      </c>
      <c r="L169" s="40">
        <f t="shared" si="56"/>
        <v>0.84064307692307694</v>
      </c>
      <c r="M169" s="187">
        <f t="shared" si="59"/>
        <v>3.2332426035502959E-2</v>
      </c>
      <c r="N169" s="47">
        <v>1.6</v>
      </c>
      <c r="O169" s="77">
        <f t="shared" si="60"/>
        <v>0</v>
      </c>
      <c r="P169" s="42">
        <f t="shared" si="57"/>
        <v>0.24238307692307703</v>
      </c>
      <c r="Q169" s="77">
        <f t="shared" si="62"/>
        <v>7.0000000000000027</v>
      </c>
      <c r="R169" s="93">
        <v>1</v>
      </c>
      <c r="S169" s="188">
        <f t="shared" si="61"/>
        <v>0</v>
      </c>
    </row>
    <row r="170" spans="2:19" x14ac:dyDescent="0.25">
      <c r="B170" s="38"/>
      <c r="C170" s="38" t="s">
        <v>580</v>
      </c>
      <c r="D170" s="38" t="s">
        <v>581</v>
      </c>
      <c r="E170" s="39">
        <v>2.5</v>
      </c>
      <c r="F170" s="99">
        <v>0.62982000000000005</v>
      </c>
      <c r="G170" s="47">
        <v>7</v>
      </c>
      <c r="H170" s="48">
        <f t="shared" si="55"/>
        <v>0.67307692307692313</v>
      </c>
      <c r="I170" s="48"/>
      <c r="J170" s="38">
        <v>0</v>
      </c>
      <c r="K170" s="38">
        <v>0</v>
      </c>
      <c r="L170" s="40">
        <f t="shared" si="56"/>
        <v>2.5432569230769229</v>
      </c>
      <c r="M170" s="187">
        <f t="shared" si="59"/>
        <v>9.7817573964497029E-2</v>
      </c>
      <c r="N170" s="47">
        <v>1.6</v>
      </c>
      <c r="O170" s="77">
        <f t="shared" si="60"/>
        <v>0</v>
      </c>
      <c r="P170" s="42">
        <f t="shared" si="57"/>
        <v>0.67307692307692291</v>
      </c>
      <c r="Q170" s="77">
        <f t="shared" si="62"/>
        <v>6.9999999999999982</v>
      </c>
      <c r="R170" s="93">
        <v>1</v>
      </c>
      <c r="S170" s="188">
        <f t="shared" si="61"/>
        <v>0</v>
      </c>
    </row>
    <row r="171" spans="2:19" x14ac:dyDescent="0.25">
      <c r="B171" s="38"/>
      <c r="C171" s="38"/>
      <c r="D171" s="38"/>
      <c r="E171" s="39"/>
      <c r="F171" s="99"/>
      <c r="G171" s="47"/>
      <c r="H171" s="48">
        <f t="shared" si="55"/>
        <v>0</v>
      </c>
      <c r="I171" s="48"/>
      <c r="J171" s="38">
        <v>0</v>
      </c>
      <c r="K171" s="38">
        <v>0</v>
      </c>
      <c r="L171" s="40">
        <f t="shared" si="56"/>
        <v>0</v>
      </c>
      <c r="M171" s="187">
        <f t="shared" si="59"/>
        <v>0</v>
      </c>
      <c r="N171" s="47">
        <v>1.6</v>
      </c>
      <c r="O171" s="77">
        <f t="shared" si="60"/>
        <v>0</v>
      </c>
      <c r="P171" s="42">
        <f t="shared" si="57"/>
        <v>0</v>
      </c>
      <c r="Q171" s="77" t="e">
        <f t="shared" si="62"/>
        <v>#DIV/0!</v>
      </c>
      <c r="R171" s="93">
        <v>1</v>
      </c>
      <c r="S171" s="188">
        <f t="shared" si="61"/>
        <v>0</v>
      </c>
    </row>
    <row r="172" spans="2:19" x14ac:dyDescent="0.25">
      <c r="B172" s="38"/>
      <c r="C172" s="38"/>
      <c r="D172" s="38"/>
      <c r="E172" s="39"/>
      <c r="F172" s="99"/>
      <c r="G172" s="47"/>
      <c r="H172" s="48">
        <f t="shared" si="55"/>
        <v>0</v>
      </c>
      <c r="I172" s="48"/>
      <c r="J172" s="38">
        <v>0</v>
      </c>
      <c r="K172" s="38">
        <v>0</v>
      </c>
      <c r="L172" s="40">
        <f t="shared" si="56"/>
        <v>0</v>
      </c>
      <c r="M172" s="187">
        <f t="shared" si="59"/>
        <v>0</v>
      </c>
      <c r="N172" s="47">
        <v>1.6</v>
      </c>
      <c r="O172" s="77">
        <f t="shared" si="60"/>
        <v>0</v>
      </c>
      <c r="P172" s="42">
        <f t="shared" si="57"/>
        <v>0</v>
      </c>
      <c r="Q172" s="77" t="e">
        <f t="shared" si="62"/>
        <v>#DIV/0!</v>
      </c>
      <c r="R172" s="93">
        <v>1</v>
      </c>
      <c r="S172" s="188"/>
    </row>
    <row r="173" spans="2:19" x14ac:dyDescent="0.25">
      <c r="B173" s="38"/>
      <c r="C173" s="38"/>
      <c r="D173" s="38"/>
      <c r="E173" s="39"/>
      <c r="F173" s="39"/>
      <c r="G173" s="47"/>
      <c r="H173" s="48"/>
      <c r="I173" s="48"/>
      <c r="J173" s="38"/>
      <c r="K173" s="38"/>
      <c r="L173" s="40"/>
      <c r="M173" s="40"/>
      <c r="N173" s="47"/>
      <c r="O173" s="77"/>
      <c r="P173" s="42"/>
      <c r="Q173" s="77"/>
      <c r="R173" s="74"/>
      <c r="S173" s="38"/>
    </row>
    <row r="174" spans="2:19" x14ac:dyDescent="0.25">
      <c r="B174" s="38"/>
      <c r="C174" s="38"/>
      <c r="D174" s="38"/>
      <c r="E174" s="39"/>
      <c r="F174" s="49"/>
      <c r="G174" s="47"/>
      <c r="H174" s="48"/>
      <c r="I174" s="48"/>
      <c r="J174" s="38"/>
      <c r="K174" s="38"/>
      <c r="L174" s="40"/>
      <c r="M174" s="40"/>
      <c r="N174" s="47"/>
      <c r="O174" s="77"/>
      <c r="P174" s="42"/>
      <c r="Q174" s="77"/>
      <c r="R174" s="74"/>
      <c r="S174" s="38"/>
    </row>
    <row r="175" spans="2:19" x14ac:dyDescent="0.25">
      <c r="B175" s="38"/>
      <c r="C175" s="38"/>
      <c r="D175" s="38"/>
      <c r="E175" s="38"/>
      <c r="F175" s="49"/>
      <c r="G175" s="47"/>
      <c r="H175" s="48"/>
      <c r="I175" s="48"/>
      <c r="J175" s="38"/>
      <c r="K175" s="38"/>
      <c r="L175" s="40"/>
      <c r="M175" s="40"/>
      <c r="N175" s="47"/>
      <c r="O175" s="77"/>
      <c r="P175" s="42"/>
      <c r="Q175" s="77"/>
      <c r="R175" s="74"/>
      <c r="S175" s="38"/>
    </row>
    <row r="176" spans="2:19" x14ac:dyDescent="0.25">
      <c r="B176" s="81"/>
      <c r="C176" s="81"/>
      <c r="D176" s="58" t="s">
        <v>122</v>
      </c>
      <c r="E176" s="85">
        <f>SUM(E138:E175)</f>
        <v>149.83440100000004</v>
      </c>
      <c r="F176" s="85">
        <f>SUM(F138:F175)</f>
        <v>106.57526999999996</v>
      </c>
      <c r="G176" s="86"/>
      <c r="H176" s="85">
        <f>SUM(H138:H175)</f>
        <v>40.340031038461525</v>
      </c>
      <c r="I176" s="85"/>
      <c r="J176" s="85">
        <f>SUM(J138:J175)</f>
        <v>60</v>
      </c>
      <c r="K176" s="85">
        <f>SUM(K138:K175)</f>
        <v>0</v>
      </c>
      <c r="L176" s="85">
        <f>SUM(L138:L175)</f>
        <v>101.47226153846155</v>
      </c>
      <c r="M176" s="85">
        <f>SUM(M138:M175)</f>
        <v>6.15753345300147</v>
      </c>
      <c r="N176" s="85"/>
      <c r="O176" s="85">
        <f>SUM(O138:O175)</f>
        <v>7364.6523063021241</v>
      </c>
      <c r="P176" s="85">
        <f>SUM(P138:P175)</f>
        <v>118.21313053846158</v>
      </c>
      <c r="Q176" s="85"/>
      <c r="R176" s="59"/>
      <c r="S176" s="38"/>
    </row>
    <row r="177" spans="2:23" x14ac:dyDescent="0.25">
      <c r="B177" s="52"/>
      <c r="C177" s="52" t="s">
        <v>130</v>
      </c>
      <c r="D177" s="53"/>
      <c r="E177" s="53"/>
      <c r="F177" s="53"/>
      <c r="G177" s="53"/>
      <c r="H177" s="54"/>
      <c r="I177" s="54"/>
      <c r="J177" s="53"/>
      <c r="K177" s="53"/>
      <c r="L177" s="53"/>
      <c r="M177" s="53"/>
      <c r="N177" s="53"/>
      <c r="O177" s="80"/>
      <c r="P177" s="53"/>
      <c r="Q177" s="80"/>
      <c r="R177" s="44"/>
      <c r="S177" s="38"/>
    </row>
    <row r="178" spans="2:23" x14ac:dyDescent="0.25">
      <c r="B178" s="211" t="s">
        <v>343</v>
      </c>
      <c r="C178" s="211" t="s">
        <v>498</v>
      </c>
      <c r="D178" s="211" t="s">
        <v>499</v>
      </c>
      <c r="E178" s="213">
        <v>6.9179799999999991</v>
      </c>
      <c r="F178" s="212">
        <v>8.6991200000000006</v>
      </c>
      <c r="G178" s="211">
        <v>3</v>
      </c>
      <c r="H178" s="48">
        <f t="shared" ref="H178:H200" si="64">(E178/$E$8)*G178</f>
        <v>0.79822846153846139</v>
      </c>
      <c r="I178" s="48"/>
      <c r="J178" s="38">
        <v>0</v>
      </c>
      <c r="K178" s="38">
        <v>0</v>
      </c>
      <c r="L178" s="40">
        <f t="shared" ref="L178:L200" si="65">IF(((E178-F178)+(H178)-(J178)+(K178))&lt;0,0,((E178-F178)+(H178)-(J178)+(K178)))</f>
        <v>0</v>
      </c>
      <c r="M178" s="40">
        <f t="shared" ref="M178:M200" si="66">IF(L178&lt;0,0,L178/$E$9)</f>
        <v>0</v>
      </c>
      <c r="N178" s="82">
        <v>1.2</v>
      </c>
      <c r="O178" s="77">
        <f>IF(B178=$V$87,M178*1000/SUMIF($W$87:$W$95,$V$87,$X$87:$X$95)/N178,0)</f>
        <v>0</v>
      </c>
      <c r="P178" s="42">
        <f t="shared" si="57"/>
        <v>1.7811400000000015</v>
      </c>
      <c r="Q178" s="77">
        <f t="shared" ref="Q178:Q200" si="67">P178/(E178/$E$8)</f>
        <v>6.6940985663445183</v>
      </c>
      <c r="R178" s="93">
        <v>1</v>
      </c>
      <c r="S178" s="38"/>
    </row>
    <row r="179" spans="2:23" x14ac:dyDescent="0.25">
      <c r="B179" s="211" t="s">
        <v>131</v>
      </c>
      <c r="C179" s="211" t="s">
        <v>328</v>
      </c>
      <c r="D179" s="211" t="s">
        <v>131</v>
      </c>
      <c r="E179" s="213">
        <v>2.8906199999999989</v>
      </c>
      <c r="F179" s="212">
        <v>0.28210000000000002</v>
      </c>
      <c r="G179" s="211">
        <v>3</v>
      </c>
      <c r="H179" s="48">
        <f t="shared" si="64"/>
        <v>0.33353307692307682</v>
      </c>
      <c r="I179" s="48"/>
      <c r="J179" s="38">
        <v>0</v>
      </c>
      <c r="K179" s="38">
        <v>0</v>
      </c>
      <c r="L179" s="40">
        <f t="shared" si="65"/>
        <v>2.9420530769230755</v>
      </c>
      <c r="M179" s="40">
        <f t="shared" si="66"/>
        <v>0.11315588757396444</v>
      </c>
      <c r="N179" s="82">
        <v>1.2</v>
      </c>
      <c r="O179" s="77">
        <f t="shared" ref="O179:O200" si="68">IF(B179=$V$87,M179*1000/SUMIF($W$87:$W$95,$V$87,$X$87:$X$95)/N179,0)</f>
        <v>380.22811684799876</v>
      </c>
      <c r="P179" s="42">
        <f t="shared" si="57"/>
        <v>0.33353307692307643</v>
      </c>
      <c r="Q179" s="77">
        <f t="shared" si="67"/>
        <v>2.9999999999999964</v>
      </c>
      <c r="R179" s="93">
        <v>1</v>
      </c>
      <c r="S179" s="38"/>
    </row>
    <row r="180" spans="2:23" x14ac:dyDescent="0.25">
      <c r="B180" s="211" t="s">
        <v>131</v>
      </c>
      <c r="C180" s="211" t="s">
        <v>500</v>
      </c>
      <c r="D180" s="211" t="s">
        <v>501</v>
      </c>
      <c r="E180" s="213">
        <v>0.97299999999999986</v>
      </c>
      <c r="F180" s="212">
        <v>0.35070000000000007</v>
      </c>
      <c r="G180" s="211">
        <v>3</v>
      </c>
      <c r="H180" s="48">
        <f t="shared" si="64"/>
        <v>0.11226923076923076</v>
      </c>
      <c r="I180" s="48"/>
      <c r="J180" s="38">
        <v>0</v>
      </c>
      <c r="K180" s="38">
        <v>0</v>
      </c>
      <c r="L180" s="40">
        <f t="shared" si="65"/>
        <v>0.73456923076923064</v>
      </c>
      <c r="M180" s="40">
        <f t="shared" si="66"/>
        <v>2.8252662721893487E-2</v>
      </c>
      <c r="N180" s="82">
        <v>1.2</v>
      </c>
      <c r="O180" s="77">
        <f t="shared" si="68"/>
        <v>94.935022587007694</v>
      </c>
      <c r="P180" s="42">
        <f t="shared" si="57"/>
        <v>0.11226923076923079</v>
      </c>
      <c r="Q180" s="77">
        <f t="shared" si="67"/>
        <v>3.0000000000000009</v>
      </c>
      <c r="R180" s="93">
        <v>1</v>
      </c>
      <c r="S180" s="38"/>
    </row>
    <row r="181" spans="2:23" x14ac:dyDescent="0.25">
      <c r="B181" s="211" t="s">
        <v>343</v>
      </c>
      <c r="C181" s="211" t="s">
        <v>295</v>
      </c>
      <c r="D181" s="211" t="s">
        <v>296</v>
      </c>
      <c r="E181" s="213">
        <v>0.88268000000000002</v>
      </c>
      <c r="F181" s="212">
        <v>1.6E-2</v>
      </c>
      <c r="G181" s="211">
        <v>3</v>
      </c>
      <c r="H181" s="48">
        <f t="shared" si="64"/>
        <v>0.10184769230769232</v>
      </c>
      <c r="I181" s="48"/>
      <c r="J181" s="38">
        <v>0</v>
      </c>
      <c r="K181" s="38">
        <v>0</v>
      </c>
      <c r="L181" s="40">
        <f t="shared" si="65"/>
        <v>0.96852769230769231</v>
      </c>
      <c r="M181" s="40">
        <f t="shared" si="66"/>
        <v>3.7251065088757397E-2</v>
      </c>
      <c r="N181" s="82">
        <v>1.2</v>
      </c>
      <c r="O181" s="77">
        <f t="shared" si="68"/>
        <v>0</v>
      </c>
      <c r="P181" s="42">
        <f t="shared" si="57"/>
        <v>0.10184769230769231</v>
      </c>
      <c r="Q181" s="77">
        <f t="shared" si="67"/>
        <v>2.9999999999999996</v>
      </c>
      <c r="R181" s="93">
        <v>1</v>
      </c>
      <c r="S181" s="38"/>
    </row>
    <row r="182" spans="2:23" x14ac:dyDescent="0.25">
      <c r="B182" s="211" t="s">
        <v>342</v>
      </c>
      <c r="C182" s="211" t="s">
        <v>297</v>
      </c>
      <c r="D182" s="211" t="s">
        <v>298</v>
      </c>
      <c r="E182" s="213">
        <v>3.82124</v>
      </c>
      <c r="F182" s="212">
        <v>1.4120599999999999</v>
      </c>
      <c r="G182" s="211">
        <v>3</v>
      </c>
      <c r="H182" s="48">
        <f t="shared" si="64"/>
        <v>0.44091230769230771</v>
      </c>
      <c r="I182" s="48"/>
      <c r="J182" s="38">
        <v>0</v>
      </c>
      <c r="K182" s="38">
        <v>0</v>
      </c>
      <c r="L182" s="40">
        <f t="shared" si="65"/>
        <v>2.8500923076923077</v>
      </c>
      <c r="M182" s="40">
        <f t="shared" si="66"/>
        <v>0.10961893491124261</v>
      </c>
      <c r="N182" s="82">
        <v>1.2</v>
      </c>
      <c r="O182" s="77">
        <f t="shared" si="68"/>
        <v>0</v>
      </c>
      <c r="P182" s="42">
        <f t="shared" si="57"/>
        <v>0.4409123076923076</v>
      </c>
      <c r="Q182" s="77">
        <f t="shared" si="67"/>
        <v>2.9999999999999991</v>
      </c>
      <c r="R182" s="93">
        <v>1</v>
      </c>
      <c r="S182" s="38"/>
    </row>
    <row r="183" spans="2:23" x14ac:dyDescent="0.25">
      <c r="B183" s="211" t="s">
        <v>342</v>
      </c>
      <c r="C183" s="211" t="s">
        <v>299</v>
      </c>
      <c r="D183" s="211" t="s">
        <v>300</v>
      </c>
      <c r="E183" s="213">
        <v>5.1974800000000005</v>
      </c>
      <c r="F183" s="212">
        <v>0.87590000000000001</v>
      </c>
      <c r="G183" s="211">
        <v>3</v>
      </c>
      <c r="H183" s="48">
        <f t="shared" si="64"/>
        <v>0.59970923076923077</v>
      </c>
      <c r="I183" s="48"/>
      <c r="J183" s="38">
        <v>0</v>
      </c>
      <c r="K183" s="38">
        <v>0</v>
      </c>
      <c r="L183" s="40">
        <f t="shared" si="65"/>
        <v>4.921289230769232</v>
      </c>
      <c r="M183" s="40">
        <f t="shared" si="66"/>
        <v>0.18928035502958585</v>
      </c>
      <c r="N183" s="82">
        <v>1.2</v>
      </c>
      <c r="O183" s="77">
        <f t="shared" si="68"/>
        <v>0</v>
      </c>
      <c r="P183" s="42">
        <f t="shared" si="57"/>
        <v>0.59970923076923111</v>
      </c>
      <c r="Q183" s="77">
        <f t="shared" si="67"/>
        <v>3.0000000000000013</v>
      </c>
      <c r="R183" s="93">
        <v>1</v>
      </c>
      <c r="S183" s="38"/>
    </row>
    <row r="184" spans="2:23" x14ac:dyDescent="0.25">
      <c r="B184" s="211" t="s">
        <v>342</v>
      </c>
      <c r="C184" s="211" t="s">
        <v>502</v>
      </c>
      <c r="D184" s="211" t="s">
        <v>503</v>
      </c>
      <c r="E184" s="213">
        <v>3.5010599999999998</v>
      </c>
      <c r="F184" s="212">
        <v>0.42836000000000002</v>
      </c>
      <c r="G184" s="211">
        <v>3</v>
      </c>
      <c r="H184" s="48">
        <f t="shared" si="64"/>
        <v>0.40396846153846155</v>
      </c>
      <c r="I184" s="48"/>
      <c r="J184" s="38">
        <v>0</v>
      </c>
      <c r="K184" s="38">
        <v>0</v>
      </c>
      <c r="L184" s="40">
        <f t="shared" si="65"/>
        <v>3.4766684615384613</v>
      </c>
      <c r="M184" s="40">
        <f t="shared" si="66"/>
        <v>0.13371801775147929</v>
      </c>
      <c r="N184" s="82">
        <v>1.2</v>
      </c>
      <c r="O184" s="77">
        <f t="shared" si="68"/>
        <v>0</v>
      </c>
      <c r="P184" s="42">
        <f t="shared" si="57"/>
        <v>0.40396846153846155</v>
      </c>
      <c r="Q184" s="77">
        <f t="shared" si="67"/>
        <v>3</v>
      </c>
      <c r="R184" s="93">
        <v>1</v>
      </c>
      <c r="S184" s="38"/>
    </row>
    <row r="185" spans="2:23" x14ac:dyDescent="0.25">
      <c r="B185" s="211" t="s">
        <v>342</v>
      </c>
      <c r="C185" s="211" t="s">
        <v>504</v>
      </c>
      <c r="D185" s="211" t="s">
        <v>505</v>
      </c>
      <c r="E185" s="213">
        <v>9.3679999999999999E-2</v>
      </c>
      <c r="F185" s="212">
        <v>0</v>
      </c>
      <c r="G185" s="211">
        <v>3</v>
      </c>
      <c r="H185" s="48">
        <f t="shared" si="64"/>
        <v>1.0809230769230769E-2</v>
      </c>
      <c r="I185" s="48"/>
      <c r="J185" s="38">
        <v>0</v>
      </c>
      <c r="K185" s="38">
        <v>0</v>
      </c>
      <c r="L185" s="40">
        <f t="shared" si="65"/>
        <v>0.10448923076923076</v>
      </c>
      <c r="M185" s="40">
        <f t="shared" si="66"/>
        <v>4.0188165680473372E-3</v>
      </c>
      <c r="N185" s="82">
        <v>1.2</v>
      </c>
      <c r="O185" s="77">
        <f t="shared" si="68"/>
        <v>0</v>
      </c>
      <c r="P185" s="42">
        <f t="shared" si="57"/>
        <v>1.0809230769230765E-2</v>
      </c>
      <c r="Q185" s="77">
        <f t="shared" si="67"/>
        <v>2.9999999999999987</v>
      </c>
      <c r="R185" s="93">
        <v>1</v>
      </c>
      <c r="S185" s="38"/>
    </row>
    <row r="186" spans="2:23" x14ac:dyDescent="0.25">
      <c r="B186" s="211" t="s">
        <v>342</v>
      </c>
      <c r="C186" s="211" t="s">
        <v>506</v>
      </c>
      <c r="D186" s="211" t="s">
        <v>507</v>
      </c>
      <c r="E186" s="213">
        <v>7.578E-2</v>
      </c>
      <c r="F186" s="212">
        <v>0</v>
      </c>
      <c r="G186" s="211">
        <v>3</v>
      </c>
      <c r="H186" s="48">
        <f t="shared" si="64"/>
        <v>8.7438461538461541E-3</v>
      </c>
      <c r="I186" s="48"/>
      <c r="J186" s="38">
        <v>0</v>
      </c>
      <c r="K186" s="38">
        <v>0</v>
      </c>
      <c r="L186" s="40">
        <f t="shared" si="65"/>
        <v>8.4523846153846158E-2</v>
      </c>
      <c r="M186" s="40">
        <f t="shared" si="66"/>
        <v>3.2509171597633136E-3</v>
      </c>
      <c r="N186" s="82">
        <v>1.2</v>
      </c>
      <c r="O186" s="77">
        <f t="shared" si="68"/>
        <v>0</v>
      </c>
      <c r="P186" s="42">
        <f t="shared" si="57"/>
        <v>8.7438461538461576E-3</v>
      </c>
      <c r="Q186" s="77">
        <f t="shared" si="67"/>
        <v>3.0000000000000013</v>
      </c>
      <c r="R186" s="93">
        <v>1</v>
      </c>
      <c r="S186" s="38"/>
    </row>
    <row r="187" spans="2:23" x14ac:dyDescent="0.25">
      <c r="B187" s="211" t="s">
        <v>342</v>
      </c>
      <c r="C187" s="211" t="s">
        <v>301</v>
      </c>
      <c r="D187" s="211" t="s">
        <v>132</v>
      </c>
      <c r="E187" s="213">
        <v>2.5550200000000007</v>
      </c>
      <c r="F187" s="212">
        <v>0.31772</v>
      </c>
      <c r="G187" s="211">
        <v>3</v>
      </c>
      <c r="H187" s="48">
        <f t="shared" si="64"/>
        <v>0.29481000000000007</v>
      </c>
      <c r="I187" s="48"/>
      <c r="J187" s="38">
        <v>0</v>
      </c>
      <c r="K187" s="38">
        <v>0</v>
      </c>
      <c r="L187" s="40">
        <f t="shared" si="65"/>
        <v>2.5321100000000007</v>
      </c>
      <c r="M187" s="40">
        <f t="shared" si="66"/>
        <v>9.7388846153846187E-2</v>
      </c>
      <c r="N187" s="82">
        <v>1.2</v>
      </c>
      <c r="O187" s="77">
        <f t="shared" si="68"/>
        <v>0</v>
      </c>
      <c r="P187" s="42">
        <f t="shared" si="57"/>
        <v>0.29481000000000002</v>
      </c>
      <c r="Q187" s="77">
        <f t="shared" si="67"/>
        <v>2.9999999999999996</v>
      </c>
      <c r="R187" s="93">
        <v>1</v>
      </c>
      <c r="S187" s="38"/>
    </row>
    <row r="188" spans="2:23" x14ac:dyDescent="0.25">
      <c r="B188" s="211" t="s">
        <v>343</v>
      </c>
      <c r="C188" s="211" t="s">
        <v>508</v>
      </c>
      <c r="D188" s="211" t="s">
        <v>509</v>
      </c>
      <c r="E188" s="213">
        <v>1.8</v>
      </c>
      <c r="F188" s="212">
        <v>1.4832000000000001</v>
      </c>
      <c r="G188" s="211">
        <v>3</v>
      </c>
      <c r="H188" s="48">
        <f t="shared" si="64"/>
        <v>0.2076923076923077</v>
      </c>
      <c r="I188" s="48"/>
      <c r="J188" s="38">
        <v>0</v>
      </c>
      <c r="K188" s="38">
        <v>0</v>
      </c>
      <c r="L188" s="40">
        <f t="shared" si="65"/>
        <v>0.5244923076923077</v>
      </c>
      <c r="M188" s="40">
        <f t="shared" si="66"/>
        <v>2.0172781065088758E-2</v>
      </c>
      <c r="N188" s="82">
        <v>1.2</v>
      </c>
      <c r="O188" s="77">
        <f t="shared" si="68"/>
        <v>0</v>
      </c>
      <c r="P188" s="42">
        <f t="shared" si="57"/>
        <v>0.20769230769230762</v>
      </c>
      <c r="Q188" s="77">
        <f t="shared" si="67"/>
        <v>2.9999999999999987</v>
      </c>
      <c r="R188" s="93">
        <v>1</v>
      </c>
      <c r="S188" s="38"/>
      <c r="W188" s="102"/>
    </row>
    <row r="189" spans="2:23" x14ac:dyDescent="0.25">
      <c r="B189" s="211" t="s">
        <v>343</v>
      </c>
      <c r="C189" s="211" t="s">
        <v>510</v>
      </c>
      <c r="D189" s="211" t="s">
        <v>511</v>
      </c>
      <c r="E189" s="213">
        <v>0.51358000000000004</v>
      </c>
      <c r="F189" s="212">
        <v>0.97332000000000007</v>
      </c>
      <c r="G189" s="211">
        <v>3</v>
      </c>
      <c r="H189" s="48">
        <f t="shared" si="64"/>
        <v>5.9259230769230772E-2</v>
      </c>
      <c r="I189" s="48"/>
      <c r="J189" s="38">
        <v>0</v>
      </c>
      <c r="K189" s="38">
        <v>0</v>
      </c>
      <c r="L189" s="40">
        <f t="shared" si="65"/>
        <v>0</v>
      </c>
      <c r="M189" s="40">
        <f t="shared" si="66"/>
        <v>0</v>
      </c>
      <c r="N189" s="82">
        <v>1.2</v>
      </c>
      <c r="O189" s="77">
        <f t="shared" si="68"/>
        <v>0</v>
      </c>
      <c r="P189" s="42">
        <f t="shared" si="57"/>
        <v>0.45974000000000004</v>
      </c>
      <c r="Q189" s="77">
        <f t="shared" si="67"/>
        <v>23.274348689590717</v>
      </c>
      <c r="R189" s="93">
        <v>1</v>
      </c>
      <c r="S189" s="38"/>
      <c r="W189" s="159"/>
    </row>
    <row r="190" spans="2:23" x14ac:dyDescent="0.25">
      <c r="B190" s="211" t="s">
        <v>343</v>
      </c>
      <c r="C190" s="211" t="s">
        <v>512</v>
      </c>
      <c r="D190" s="211" t="s">
        <v>343</v>
      </c>
      <c r="E190" s="213">
        <v>13.198040000000001</v>
      </c>
      <c r="F190" s="212">
        <v>10.858858000000001</v>
      </c>
      <c r="G190" s="211">
        <v>3</v>
      </c>
      <c r="H190" s="48">
        <f t="shared" si="64"/>
        <v>1.5228507692307693</v>
      </c>
      <c r="I190" s="48"/>
      <c r="J190" s="38">
        <v>0</v>
      </c>
      <c r="K190" s="38">
        <v>0</v>
      </c>
      <c r="L190" s="40">
        <f t="shared" si="65"/>
        <v>3.8620327692307685</v>
      </c>
      <c r="M190" s="40">
        <f t="shared" si="66"/>
        <v>0.1485397218934911</v>
      </c>
      <c r="N190" s="82">
        <v>1.2</v>
      </c>
      <c r="O190" s="77">
        <f t="shared" si="68"/>
        <v>0</v>
      </c>
      <c r="P190" s="42">
        <f t="shared" si="57"/>
        <v>1.5228507692307698</v>
      </c>
      <c r="Q190" s="77">
        <f t="shared" si="67"/>
        <v>3.0000000000000009</v>
      </c>
      <c r="R190" s="93">
        <v>1</v>
      </c>
      <c r="S190" s="38"/>
      <c r="W190" s="159"/>
    </row>
    <row r="191" spans="2:23" x14ac:dyDescent="0.25">
      <c r="B191" s="211" t="s">
        <v>343</v>
      </c>
      <c r="C191" s="211" t="s">
        <v>513</v>
      </c>
      <c r="D191" s="211" t="s">
        <v>514</v>
      </c>
      <c r="E191" s="213">
        <v>0.15118000000000001</v>
      </c>
      <c r="F191" s="212">
        <v>0.15487999999999999</v>
      </c>
      <c r="G191" s="211">
        <v>3</v>
      </c>
      <c r="H191" s="48">
        <f t="shared" si="64"/>
        <v>1.7443846153846157E-2</v>
      </c>
      <c r="I191" s="48"/>
      <c r="J191" s="38">
        <v>0</v>
      </c>
      <c r="K191" s="38">
        <v>0</v>
      </c>
      <c r="L191" s="40">
        <f t="shared" si="65"/>
        <v>1.3743846153846176E-2</v>
      </c>
      <c r="M191" s="40">
        <f t="shared" si="66"/>
        <v>5.2860946745562215E-4</v>
      </c>
      <c r="N191" s="82">
        <v>1.2</v>
      </c>
      <c r="O191" s="77">
        <f t="shared" si="68"/>
        <v>0</v>
      </c>
      <c r="P191" s="42">
        <f t="shared" si="57"/>
        <v>1.7443846153846171E-2</v>
      </c>
      <c r="Q191" s="77">
        <f t="shared" si="67"/>
        <v>3.0000000000000027</v>
      </c>
      <c r="R191" s="93">
        <v>1</v>
      </c>
      <c r="S191" s="38"/>
    </row>
    <row r="192" spans="2:23" x14ac:dyDescent="0.25">
      <c r="B192" s="211" t="s">
        <v>343</v>
      </c>
      <c r="C192" s="211" t="s">
        <v>306</v>
      </c>
      <c r="D192" s="211" t="s">
        <v>307</v>
      </c>
      <c r="E192" s="213">
        <v>1.0336399999999999</v>
      </c>
      <c r="F192" s="212">
        <v>0.1216</v>
      </c>
      <c r="G192" s="211">
        <v>3</v>
      </c>
      <c r="H192" s="48">
        <f t="shared" si="64"/>
        <v>0.11926615384615383</v>
      </c>
      <c r="I192" s="48"/>
      <c r="J192" s="38">
        <v>0</v>
      </c>
      <c r="K192" s="38">
        <v>0</v>
      </c>
      <c r="L192" s="40">
        <f t="shared" si="65"/>
        <v>1.0313061538461537</v>
      </c>
      <c r="M192" s="40">
        <f t="shared" si="66"/>
        <v>3.9665621301775138E-2</v>
      </c>
      <c r="N192" s="82">
        <v>1.2</v>
      </c>
      <c r="O192" s="77">
        <f t="shared" si="68"/>
        <v>0</v>
      </c>
      <c r="P192" s="42">
        <f t="shared" si="57"/>
        <v>0.11926615384615369</v>
      </c>
      <c r="Q192" s="77">
        <f t="shared" si="67"/>
        <v>2.9999999999999964</v>
      </c>
      <c r="R192" s="93">
        <v>1</v>
      </c>
      <c r="S192" s="38"/>
    </row>
    <row r="193" spans="2:19" x14ac:dyDescent="0.25">
      <c r="B193" s="211"/>
      <c r="C193" s="211"/>
      <c r="D193" s="211"/>
      <c r="E193" s="213"/>
      <c r="F193" s="212"/>
      <c r="G193" s="211"/>
      <c r="H193" s="48">
        <f t="shared" si="64"/>
        <v>0</v>
      </c>
      <c r="I193" s="48"/>
      <c r="J193" s="38">
        <v>0</v>
      </c>
      <c r="K193" s="38">
        <v>0</v>
      </c>
      <c r="L193" s="40">
        <f t="shared" si="65"/>
        <v>0</v>
      </c>
      <c r="M193" s="40">
        <f t="shared" si="66"/>
        <v>0</v>
      </c>
      <c r="N193" s="82">
        <v>1.2</v>
      </c>
      <c r="O193" s="77">
        <f t="shared" si="68"/>
        <v>0</v>
      </c>
      <c r="P193" s="42">
        <f t="shared" si="57"/>
        <v>0</v>
      </c>
      <c r="Q193" s="77" t="e">
        <f t="shared" si="67"/>
        <v>#DIV/0!</v>
      </c>
      <c r="R193" s="93">
        <v>1</v>
      </c>
      <c r="S193" s="38"/>
    </row>
    <row r="194" spans="2:19" x14ac:dyDescent="0.25">
      <c r="B194" s="211"/>
      <c r="C194" s="211"/>
      <c r="D194" s="211"/>
      <c r="E194" s="213"/>
      <c r="F194" s="212"/>
      <c r="G194" s="211"/>
      <c r="H194" s="48">
        <f t="shared" si="64"/>
        <v>0</v>
      </c>
      <c r="I194" s="48"/>
      <c r="J194" s="38">
        <v>0</v>
      </c>
      <c r="K194" s="38">
        <v>0</v>
      </c>
      <c r="L194" s="40">
        <f t="shared" si="65"/>
        <v>0</v>
      </c>
      <c r="M194" s="40">
        <f t="shared" si="66"/>
        <v>0</v>
      </c>
      <c r="N194" s="82">
        <v>1.2</v>
      </c>
      <c r="O194" s="77">
        <f t="shared" si="68"/>
        <v>0</v>
      </c>
      <c r="P194" s="42">
        <f t="shared" si="57"/>
        <v>0</v>
      </c>
      <c r="Q194" s="77" t="e">
        <f t="shared" si="67"/>
        <v>#DIV/0!</v>
      </c>
      <c r="R194" s="93">
        <v>1</v>
      </c>
      <c r="S194" s="38"/>
    </row>
    <row r="195" spans="2:19" x14ac:dyDescent="0.25">
      <c r="B195" s="211"/>
      <c r="C195" s="211"/>
      <c r="D195" s="211"/>
      <c r="E195" s="213"/>
      <c r="F195" s="212"/>
      <c r="G195" s="211"/>
      <c r="H195" s="48">
        <f t="shared" si="64"/>
        <v>0</v>
      </c>
      <c r="I195" s="48"/>
      <c r="J195" s="38">
        <v>0</v>
      </c>
      <c r="K195" s="38">
        <v>0</v>
      </c>
      <c r="L195" s="40">
        <f t="shared" si="65"/>
        <v>0</v>
      </c>
      <c r="M195" s="40">
        <f t="shared" si="66"/>
        <v>0</v>
      </c>
      <c r="N195" s="82">
        <v>1.2</v>
      </c>
      <c r="O195" s="77">
        <f t="shared" si="68"/>
        <v>0</v>
      </c>
      <c r="P195" s="42">
        <f t="shared" si="57"/>
        <v>0</v>
      </c>
      <c r="Q195" s="77" t="e">
        <f t="shared" si="67"/>
        <v>#DIV/0!</v>
      </c>
      <c r="R195" s="93">
        <v>1</v>
      </c>
      <c r="S195" s="38"/>
    </row>
    <row r="196" spans="2:19" x14ac:dyDescent="0.25">
      <c r="B196" s="211"/>
      <c r="C196" s="211"/>
      <c r="D196" s="211"/>
      <c r="E196" s="213"/>
      <c r="F196" s="212"/>
      <c r="G196" s="211"/>
      <c r="H196" s="48">
        <f t="shared" si="64"/>
        <v>0</v>
      </c>
      <c r="I196" s="48"/>
      <c r="J196" s="38">
        <v>0</v>
      </c>
      <c r="K196" s="38">
        <v>0</v>
      </c>
      <c r="L196" s="40">
        <f t="shared" si="65"/>
        <v>0</v>
      </c>
      <c r="M196" s="40">
        <f t="shared" si="66"/>
        <v>0</v>
      </c>
      <c r="N196" s="82">
        <v>1.2</v>
      </c>
      <c r="O196" s="77">
        <f t="shared" si="68"/>
        <v>0</v>
      </c>
      <c r="P196" s="42">
        <f t="shared" si="57"/>
        <v>0</v>
      </c>
      <c r="Q196" s="77" t="e">
        <f t="shared" si="67"/>
        <v>#DIV/0!</v>
      </c>
      <c r="R196" s="93">
        <v>1</v>
      </c>
      <c r="S196" s="38"/>
    </row>
    <row r="197" spans="2:19" x14ac:dyDescent="0.25">
      <c r="B197" s="211"/>
      <c r="C197" s="211"/>
      <c r="D197" s="211"/>
      <c r="E197" s="213"/>
      <c r="F197" s="212"/>
      <c r="G197" s="211"/>
      <c r="H197" s="48">
        <f t="shared" si="64"/>
        <v>0</v>
      </c>
      <c r="I197" s="48"/>
      <c r="J197" s="38">
        <v>0</v>
      </c>
      <c r="K197" s="38">
        <v>0</v>
      </c>
      <c r="L197" s="40">
        <f t="shared" si="65"/>
        <v>0</v>
      </c>
      <c r="M197" s="40">
        <f t="shared" si="66"/>
        <v>0</v>
      </c>
      <c r="N197" s="82">
        <v>1.2</v>
      </c>
      <c r="O197" s="77">
        <f t="shared" si="68"/>
        <v>0</v>
      </c>
      <c r="P197" s="42">
        <f t="shared" si="57"/>
        <v>0</v>
      </c>
      <c r="Q197" s="77" t="e">
        <f t="shared" si="67"/>
        <v>#DIV/0!</v>
      </c>
      <c r="R197" s="93">
        <v>1</v>
      </c>
      <c r="S197" s="38"/>
    </row>
    <row r="198" spans="2:19" x14ac:dyDescent="0.25">
      <c r="B198" s="211"/>
      <c r="C198" s="211"/>
      <c r="D198" s="211"/>
      <c r="E198" s="213"/>
      <c r="F198" s="212"/>
      <c r="G198" s="211"/>
      <c r="H198" s="48">
        <f t="shared" si="64"/>
        <v>0</v>
      </c>
      <c r="I198" s="48"/>
      <c r="J198" s="38">
        <v>0</v>
      </c>
      <c r="K198" s="38">
        <v>0</v>
      </c>
      <c r="L198" s="40">
        <f t="shared" si="65"/>
        <v>0</v>
      </c>
      <c r="M198" s="40">
        <f t="shared" si="66"/>
        <v>0</v>
      </c>
      <c r="N198" s="82">
        <v>1.2</v>
      </c>
      <c r="O198" s="77">
        <f t="shared" si="68"/>
        <v>0</v>
      </c>
      <c r="P198" s="42">
        <f t="shared" si="57"/>
        <v>0</v>
      </c>
      <c r="Q198" s="77" t="e">
        <f t="shared" si="67"/>
        <v>#DIV/0!</v>
      </c>
      <c r="R198" s="93">
        <v>1</v>
      </c>
      <c r="S198" s="38"/>
    </row>
    <row r="199" spans="2:19" x14ac:dyDescent="0.25">
      <c r="B199" s="211"/>
      <c r="C199" s="211"/>
      <c r="D199" s="211"/>
      <c r="E199" s="213"/>
      <c r="F199" s="212"/>
      <c r="G199" s="211"/>
      <c r="H199" s="48">
        <f t="shared" si="64"/>
        <v>0</v>
      </c>
      <c r="I199" s="48"/>
      <c r="J199" s="38">
        <v>0</v>
      </c>
      <c r="K199" s="38">
        <v>0</v>
      </c>
      <c r="L199" s="40">
        <f t="shared" si="65"/>
        <v>0</v>
      </c>
      <c r="M199" s="40">
        <f t="shared" si="66"/>
        <v>0</v>
      </c>
      <c r="N199" s="82">
        <v>1.2</v>
      </c>
      <c r="O199" s="77">
        <f t="shared" si="68"/>
        <v>0</v>
      </c>
      <c r="P199" s="42">
        <f t="shared" si="57"/>
        <v>0</v>
      </c>
      <c r="Q199" s="77" t="e">
        <f t="shared" si="67"/>
        <v>#DIV/0!</v>
      </c>
      <c r="R199" s="93">
        <v>1</v>
      </c>
      <c r="S199" s="38"/>
    </row>
    <row r="200" spans="2:19" x14ac:dyDescent="0.25">
      <c r="B200" s="38"/>
      <c r="C200" s="38"/>
      <c r="D200" s="38"/>
      <c r="E200" s="39"/>
      <c r="F200" s="99"/>
      <c r="G200" s="47"/>
      <c r="H200" s="48">
        <f t="shared" si="64"/>
        <v>0</v>
      </c>
      <c r="I200" s="48"/>
      <c r="J200" s="38">
        <v>0</v>
      </c>
      <c r="K200" s="38">
        <v>0</v>
      </c>
      <c r="L200" s="40">
        <f t="shared" si="65"/>
        <v>0</v>
      </c>
      <c r="M200" s="40">
        <f t="shared" si="66"/>
        <v>0</v>
      </c>
      <c r="N200" s="82">
        <v>1.2</v>
      </c>
      <c r="O200" s="77">
        <f t="shared" si="68"/>
        <v>0</v>
      </c>
      <c r="P200" s="42">
        <f t="shared" si="57"/>
        <v>0</v>
      </c>
      <c r="Q200" s="77" t="e">
        <f t="shared" si="67"/>
        <v>#DIV/0!</v>
      </c>
      <c r="R200" s="93">
        <v>1</v>
      </c>
      <c r="S200" s="38"/>
    </row>
    <row r="201" spans="2:19" x14ac:dyDescent="0.25">
      <c r="B201" s="38"/>
      <c r="C201" s="38"/>
      <c r="D201" s="38"/>
      <c r="E201" s="39"/>
      <c r="F201" s="49"/>
      <c r="G201" s="47"/>
      <c r="H201" s="48"/>
      <c r="I201" s="48"/>
      <c r="J201" s="38"/>
      <c r="K201" s="38"/>
      <c r="L201" s="40"/>
      <c r="M201" s="40"/>
      <c r="N201" s="82"/>
      <c r="O201" s="77"/>
      <c r="P201" s="42"/>
      <c r="Q201" s="77"/>
      <c r="R201" s="38"/>
      <c r="S201" s="38"/>
    </row>
    <row r="202" spans="2:19" x14ac:dyDescent="0.25">
      <c r="B202" s="38"/>
      <c r="C202" s="38"/>
      <c r="D202" s="38"/>
      <c r="E202" s="39"/>
      <c r="F202" s="49"/>
      <c r="G202" s="47"/>
      <c r="H202" s="48"/>
      <c r="I202" s="48"/>
      <c r="J202" s="38"/>
      <c r="K202" s="38"/>
      <c r="L202" s="40"/>
      <c r="M202" s="40"/>
      <c r="N202" s="82"/>
      <c r="O202" s="77"/>
      <c r="P202" s="42"/>
      <c r="Q202" s="77"/>
      <c r="R202" s="38"/>
      <c r="S202" s="38"/>
    </row>
    <row r="203" spans="2:19" x14ac:dyDescent="0.25">
      <c r="B203" s="38"/>
      <c r="C203" s="38"/>
      <c r="D203" s="38"/>
      <c r="E203" s="39"/>
      <c r="F203" s="49"/>
      <c r="G203" s="47"/>
      <c r="H203" s="48"/>
      <c r="I203" s="48"/>
      <c r="J203" s="38"/>
      <c r="K203" s="38"/>
      <c r="L203" s="40"/>
      <c r="M203" s="40"/>
      <c r="N203" s="82"/>
      <c r="O203" s="77"/>
      <c r="P203" s="42"/>
      <c r="Q203" s="77"/>
      <c r="R203" s="38"/>
      <c r="S203" s="38"/>
    </row>
    <row r="204" spans="2:19" x14ac:dyDescent="0.25">
      <c r="B204" s="38"/>
      <c r="C204" s="38"/>
      <c r="D204" s="38"/>
      <c r="E204" s="39"/>
      <c r="F204" s="49"/>
      <c r="G204" s="47"/>
      <c r="H204" s="48"/>
      <c r="I204" s="48"/>
      <c r="J204" s="38"/>
      <c r="K204" s="38"/>
      <c r="L204" s="40"/>
      <c r="M204" s="40"/>
      <c r="N204" s="82"/>
      <c r="O204" s="77"/>
      <c r="P204" s="42"/>
      <c r="Q204" s="77"/>
      <c r="R204" s="38"/>
      <c r="S204" s="38"/>
    </row>
    <row r="205" spans="2:19" x14ac:dyDescent="0.25">
      <c r="B205" s="38"/>
      <c r="C205" s="38"/>
      <c r="D205" s="58" t="s">
        <v>122</v>
      </c>
      <c r="E205" s="84">
        <f>SUM(E178:E204)</f>
        <v>43.604979999999998</v>
      </c>
      <c r="F205" s="84">
        <f>SUM(F178:F204)</f>
        <v>25.973818000000001</v>
      </c>
      <c r="G205" s="83"/>
      <c r="H205" s="84">
        <f>SUM(H178:H204)</f>
        <v>5.0313438461538462</v>
      </c>
      <c r="I205" s="84"/>
      <c r="J205" s="84">
        <f>SUM(J178:J204)</f>
        <v>0</v>
      </c>
      <c r="K205" s="84">
        <f>SUM(K178:K204)</f>
        <v>0</v>
      </c>
      <c r="L205" s="84">
        <f>SUM(L178:L204)</f>
        <v>24.045898153846153</v>
      </c>
      <c r="M205" s="84">
        <f>SUM(M178:M204)</f>
        <v>0.92484223668639043</v>
      </c>
      <c r="N205" s="84"/>
      <c r="O205" s="84">
        <f>SUM(O178:O204)</f>
        <v>475.16313943500643</v>
      </c>
      <c r="P205" s="84">
        <f>SUM(P178:P204)</f>
        <v>6.4147361538461549</v>
      </c>
      <c r="Q205" s="108"/>
      <c r="R205" s="84"/>
      <c r="S205" s="38"/>
    </row>
    <row r="207" spans="2:19" x14ac:dyDescent="0.25">
      <c r="E207" s="10">
        <f>E205+E176+E136+E82</f>
        <v>1285.2226369999998</v>
      </c>
      <c r="F207" s="10">
        <f>F205+F176+F136+F82</f>
        <v>838.79177800000002</v>
      </c>
      <c r="P207" s="10">
        <f>P205+P176+P136+P82</f>
        <v>764.75719669230762</v>
      </c>
    </row>
  </sheetData>
  <autoFilter ref="C12:O155">
    <filterColumn colId="4" showButton="0"/>
    <filterColumn colId="7" showButton="0"/>
  </autoFilter>
  <mergeCells count="19">
    <mergeCell ref="I12:K12"/>
    <mergeCell ref="R12:R13"/>
    <mergeCell ref="S12:S13"/>
    <mergeCell ref="P12:P13"/>
    <mergeCell ref="L12:L13"/>
    <mergeCell ref="N12:N13"/>
    <mergeCell ref="O12:O13"/>
    <mergeCell ref="M12:M13"/>
    <mergeCell ref="B12:B13"/>
    <mergeCell ref="C12:C13"/>
    <mergeCell ref="D12:D13"/>
    <mergeCell ref="E12:E13"/>
    <mergeCell ref="G12:H12"/>
    <mergeCell ref="F12:F13"/>
    <mergeCell ref="W11:AA11"/>
    <mergeCell ref="W39:AA39"/>
    <mergeCell ref="Q12:Q13"/>
    <mergeCell ref="W74:X74"/>
    <mergeCell ref="W86:X8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41"/>
  <sheetViews>
    <sheetView topLeftCell="K1" zoomScaleNormal="100" workbookViewId="0">
      <selection activeCell="X12" sqref="X12"/>
    </sheetView>
  </sheetViews>
  <sheetFormatPr defaultRowHeight="15" x14ac:dyDescent="0.25"/>
  <cols>
    <col min="8" max="8" width="18" bestFit="1" customWidth="1"/>
    <col min="9" max="10" width="18" customWidth="1"/>
    <col min="11" max="11" width="13.7109375" bestFit="1" customWidth="1"/>
    <col min="12" max="15" width="13.7109375" customWidth="1"/>
    <col min="16" max="16" width="17.5703125" bestFit="1" customWidth="1"/>
    <col min="17" max="17" width="9.85546875" customWidth="1"/>
    <col min="18" max="18" width="11.85546875" bestFit="1" customWidth="1"/>
    <col min="19" max="19" width="11.85546875" customWidth="1"/>
  </cols>
  <sheetData>
    <row r="5" spans="8:34" x14ac:dyDescent="0.25">
      <c r="O5" s="68"/>
    </row>
    <row r="6" spans="8:34" x14ac:dyDescent="0.25">
      <c r="J6" s="248" t="s">
        <v>338</v>
      </c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</row>
    <row r="7" spans="8:34" ht="15.75" thickBot="1" x14ac:dyDescent="0.3">
      <c r="R7" s="73"/>
    </row>
    <row r="8" spans="8:34" ht="15.75" thickBot="1" x14ac:dyDescent="0.3">
      <c r="J8" s="171" t="s">
        <v>331</v>
      </c>
      <c r="K8" s="172"/>
      <c r="L8" s="172"/>
      <c r="M8" s="172"/>
      <c r="N8" s="172"/>
      <c r="O8" s="172"/>
      <c r="P8" s="172"/>
      <c r="Q8" s="171" t="s">
        <v>332</v>
      </c>
      <c r="R8" s="172"/>
      <c r="S8" s="172"/>
      <c r="T8" s="172"/>
      <c r="U8" s="172"/>
      <c r="V8" s="172"/>
      <c r="W8" s="173"/>
      <c r="X8" s="174" t="s">
        <v>334</v>
      </c>
      <c r="Y8" s="175"/>
      <c r="Z8" s="175"/>
      <c r="AA8" s="175"/>
      <c r="AB8" s="175"/>
      <c r="AC8" s="175"/>
      <c r="AD8" s="176"/>
      <c r="AE8" s="175" t="s">
        <v>335</v>
      </c>
      <c r="AF8" s="175"/>
      <c r="AG8" s="175"/>
      <c r="AH8" s="176"/>
    </row>
    <row r="9" spans="8:34" ht="15.75" thickBot="1" x14ac:dyDescent="0.3">
      <c r="H9" t="s">
        <v>52</v>
      </c>
      <c r="I9" t="s">
        <v>58</v>
      </c>
      <c r="J9" s="148" t="s">
        <v>340</v>
      </c>
      <c r="K9" s="148" t="s">
        <v>336</v>
      </c>
      <c r="L9" s="149" t="s">
        <v>127</v>
      </c>
      <c r="M9" s="148" t="s">
        <v>126</v>
      </c>
      <c r="N9" s="148" t="s">
        <v>123</v>
      </c>
      <c r="O9" s="148" t="s">
        <v>341</v>
      </c>
      <c r="P9" s="150" t="s">
        <v>337</v>
      </c>
      <c r="Q9" s="150" t="s">
        <v>340</v>
      </c>
      <c r="R9" s="150" t="s">
        <v>336</v>
      </c>
      <c r="S9" s="150" t="s">
        <v>127</v>
      </c>
      <c r="T9" s="150" t="s">
        <v>126</v>
      </c>
      <c r="U9" s="150" t="s">
        <v>123</v>
      </c>
      <c r="V9" s="150" t="s">
        <v>341</v>
      </c>
      <c r="W9" s="148" t="s">
        <v>337</v>
      </c>
      <c r="X9" s="150" t="s">
        <v>340</v>
      </c>
      <c r="Y9" s="148" t="s">
        <v>336</v>
      </c>
      <c r="Z9" s="148" t="s">
        <v>127</v>
      </c>
      <c r="AA9" s="148" t="s">
        <v>126</v>
      </c>
      <c r="AB9" s="148" t="s">
        <v>123</v>
      </c>
      <c r="AC9" s="148" t="s">
        <v>341</v>
      </c>
      <c r="AD9" s="148" t="s">
        <v>337</v>
      </c>
      <c r="AE9" s="150" t="s">
        <v>340</v>
      </c>
      <c r="AF9" s="150" t="s">
        <v>336</v>
      </c>
      <c r="AG9" s="150" t="s">
        <v>127</v>
      </c>
      <c r="AH9" s="148" t="s">
        <v>337</v>
      </c>
    </row>
    <row r="10" spans="8:34" x14ac:dyDescent="0.25">
      <c r="H10">
        <v>1.6</v>
      </c>
      <c r="I10" s="71">
        <f>O10/K10/H10</f>
        <v>0</v>
      </c>
      <c r="J10" s="147" t="s">
        <v>271</v>
      </c>
      <c r="K10" s="157">
        <v>0.35899999999999999</v>
      </c>
      <c r="L10" s="134">
        <f>SUMIF('SETTING PRODUKSI Januari'!$B$109:$B$138,J10,'SETTING PRODUKSI Januari'!$M$109:$M$138)*1000</f>
        <v>0</v>
      </c>
      <c r="M10" s="177">
        <f>IF(P10=1,I10*H10*K10,0)</f>
        <v>0</v>
      </c>
      <c r="N10" s="177">
        <f>IF(P10=1,M10-L10,M10)</f>
        <v>0</v>
      </c>
      <c r="O10" s="177">
        <f>IF(P10=1,SUM(V10:V24)+L10,SUM(V10:V24))</f>
        <v>0</v>
      </c>
      <c r="P10" s="165">
        <v>1</v>
      </c>
      <c r="Q10" s="147" t="s">
        <v>112</v>
      </c>
      <c r="R10" s="157">
        <v>0.46</v>
      </c>
      <c r="S10" s="134">
        <f>SUMIF('SETTING PRODUKSI Januari'!$B$109:$B$138,Q10,'SETTING PRODUKSI Januari'!$M$109:$M$138)*1000</f>
        <v>0</v>
      </c>
      <c r="T10" s="177">
        <f>V10*R10</f>
        <v>0</v>
      </c>
      <c r="U10" s="177">
        <f>T10-S10</f>
        <v>0</v>
      </c>
      <c r="V10" s="177">
        <f>IF(W10=1,S10/R10,0)</f>
        <v>0</v>
      </c>
      <c r="W10" s="165">
        <v>1</v>
      </c>
      <c r="X10" s="121"/>
      <c r="Y10" s="107"/>
      <c r="Z10" s="122"/>
      <c r="AA10" s="122"/>
      <c r="AB10" s="122"/>
      <c r="AC10" s="122"/>
      <c r="AD10" s="123"/>
      <c r="AE10" s="118"/>
      <c r="AF10" s="119"/>
      <c r="AG10" s="119"/>
      <c r="AH10" s="120"/>
    </row>
    <row r="11" spans="8:34" ht="15.75" thickBot="1" x14ac:dyDescent="0.3">
      <c r="J11" s="121"/>
      <c r="K11" s="107"/>
      <c r="L11" s="107" t="s">
        <v>344</v>
      </c>
      <c r="M11" s="107" t="s">
        <v>271</v>
      </c>
      <c r="N11" s="107" t="s">
        <v>106</v>
      </c>
      <c r="O11" s="107"/>
      <c r="P11" s="123"/>
      <c r="Q11" s="161" t="s">
        <v>286</v>
      </c>
      <c r="R11" s="162">
        <v>0.54</v>
      </c>
      <c r="S11" s="142">
        <f>SUMIF('SETTING PRODUKSI Januari'!$B$109:$B$138,Q11,'SETTING PRODUKSI Januari'!$M$109:$M$138)*1000</f>
        <v>0</v>
      </c>
      <c r="T11" s="178">
        <f>V10*R11</f>
        <v>0</v>
      </c>
      <c r="U11" s="177">
        <f>T11-S11</f>
        <v>0</v>
      </c>
      <c r="V11" s="178"/>
      <c r="W11" s="168"/>
      <c r="X11" s="125"/>
      <c r="Y11" s="127"/>
      <c r="Z11" s="126"/>
      <c r="AA11" s="126"/>
      <c r="AB11" s="126"/>
      <c r="AC11" s="126"/>
      <c r="AD11" s="128"/>
      <c r="AE11" s="125"/>
      <c r="AF11" s="127"/>
      <c r="AG11" s="127"/>
      <c r="AH11" s="128"/>
    </row>
    <row r="12" spans="8:34" x14ac:dyDescent="0.25">
      <c r="J12" s="121"/>
      <c r="K12" s="107"/>
      <c r="L12" s="107">
        <v>100</v>
      </c>
      <c r="M12" s="107">
        <f>L12/R10</f>
        <v>217.39130434782606</v>
      </c>
      <c r="N12" s="107">
        <f>M12*R12</f>
        <v>195.22311212814643</v>
      </c>
      <c r="O12" s="107"/>
      <c r="P12" s="123"/>
      <c r="Q12" s="135" t="s">
        <v>106</v>
      </c>
      <c r="R12" s="155">
        <v>0.89802631578947367</v>
      </c>
      <c r="S12" s="129">
        <f>SUMIF('SETTING PRODUKSI Januari'!$B$109:$B$138,Q12,'SETTING PRODUKSI Januari'!$M$109:$M$138)*1000</f>
        <v>530.36715976331357</v>
      </c>
      <c r="T12" s="179">
        <f>(V12+V23)*R12</f>
        <v>0</v>
      </c>
      <c r="U12" s="177">
        <f>T12-S12</f>
        <v>-530.36715976331357</v>
      </c>
      <c r="V12" s="179">
        <f>IF(W12=1,(S12+SUM(AC12:AC22))/R12,0)+SUM(AC12:AC22)/R12</f>
        <v>0</v>
      </c>
      <c r="W12" s="166"/>
      <c r="X12" s="138" t="s">
        <v>108</v>
      </c>
      <c r="Y12" s="157">
        <v>0.46</v>
      </c>
      <c r="Z12" s="134">
        <f>SUMIF('SETTING PRODUKSI Januari'!$B$109:$B$138,X12,'SETTING PRODUKSI Januari'!$M$109:$M$138)*1000</f>
        <v>0</v>
      </c>
      <c r="AA12" s="177">
        <f>Y12*AC12</f>
        <v>0</v>
      </c>
      <c r="AB12" s="177">
        <f>AA12-Z12</f>
        <v>0</v>
      </c>
      <c r="AC12" s="177">
        <f>IF(AD12=1,Z12/Y12,0)</f>
        <v>0</v>
      </c>
      <c r="AD12" s="165">
        <v>1</v>
      </c>
      <c r="AE12" s="121"/>
      <c r="AF12" s="107"/>
      <c r="AG12" s="107"/>
      <c r="AH12" s="123"/>
    </row>
    <row r="13" spans="8:34" x14ac:dyDescent="0.25">
      <c r="J13" s="121"/>
      <c r="K13" s="107"/>
      <c r="L13" s="186">
        <f>L12/N12</f>
        <v>0.51223443223443232</v>
      </c>
      <c r="M13" s="107"/>
      <c r="N13" s="107"/>
      <c r="O13" s="107"/>
      <c r="P13" s="123"/>
      <c r="Q13" s="121"/>
      <c r="R13" s="107"/>
      <c r="S13" s="122"/>
      <c r="T13" s="122"/>
      <c r="U13" s="122"/>
      <c r="V13" s="122"/>
      <c r="W13" s="123"/>
      <c r="X13" s="117" t="s">
        <v>288</v>
      </c>
      <c r="Y13" s="109">
        <v>0.54</v>
      </c>
      <c r="Z13" s="134">
        <f>SUMIF('SETTING PRODUKSI Januari'!$B$109:$B$138,X13,'SETTING PRODUKSI Januari'!$M$109:$M$138)*1000</f>
        <v>0</v>
      </c>
      <c r="AA13" s="177">
        <f>Y13*AC12</f>
        <v>0</v>
      </c>
      <c r="AB13" s="177">
        <f>AA13-Z13</f>
        <v>0</v>
      </c>
      <c r="AC13" s="177">
        <f>IF(AD13=1,Z13/Y13,0)</f>
        <v>0</v>
      </c>
      <c r="AD13" s="169"/>
      <c r="AE13" s="121"/>
      <c r="AF13" s="107"/>
      <c r="AG13" s="107"/>
      <c r="AH13" s="123"/>
    </row>
    <row r="14" spans="8:34" x14ac:dyDescent="0.25">
      <c r="J14" s="121"/>
      <c r="K14" s="107"/>
      <c r="L14" s="107"/>
      <c r="M14" s="107"/>
      <c r="N14" s="107"/>
      <c r="O14" s="107"/>
      <c r="P14" s="123"/>
      <c r="Q14" s="121"/>
      <c r="R14" s="122"/>
      <c r="S14" s="107"/>
      <c r="T14" s="107"/>
      <c r="U14" s="107"/>
      <c r="V14" s="107"/>
      <c r="W14" s="123"/>
      <c r="X14" s="117"/>
      <c r="Y14" s="38"/>
      <c r="Z14" s="38"/>
      <c r="AA14" s="146"/>
      <c r="AB14" s="177"/>
      <c r="AC14" s="146"/>
      <c r="AD14" s="130"/>
      <c r="AE14" s="121"/>
      <c r="AF14" s="107"/>
      <c r="AG14" s="107"/>
      <c r="AH14" s="123"/>
    </row>
    <row r="15" spans="8:34" x14ac:dyDescent="0.25">
      <c r="J15" s="121"/>
      <c r="K15" s="107"/>
      <c r="L15" s="107">
        <f>L12/L13</f>
        <v>195.22311212814643</v>
      </c>
      <c r="M15" s="107"/>
      <c r="N15" s="107"/>
      <c r="O15" s="107"/>
      <c r="P15" s="123"/>
      <c r="Q15" s="121"/>
      <c r="R15" s="107"/>
      <c r="S15" s="107"/>
      <c r="T15" s="107"/>
      <c r="U15" s="107"/>
      <c r="V15" s="107"/>
      <c r="W15" s="123"/>
      <c r="X15" s="117" t="s">
        <v>110</v>
      </c>
      <c r="Y15" s="109">
        <v>0.49</v>
      </c>
      <c r="Z15" s="134">
        <f>SUMIF('SETTING PRODUKSI Januari'!$B$109:$B$138,X15,'SETTING PRODUKSI Januari'!$M$109:$M$138)*1000</f>
        <v>0</v>
      </c>
      <c r="AA15" s="177">
        <f>AC15*Y15</f>
        <v>0</v>
      </c>
      <c r="AB15" s="177">
        <f>AA15-Z15</f>
        <v>0</v>
      </c>
      <c r="AC15" s="177">
        <f>IF(AD15=1,Z15/Y15,0)</f>
        <v>0</v>
      </c>
      <c r="AD15" s="169">
        <v>1</v>
      </c>
      <c r="AE15" s="121"/>
      <c r="AF15" s="107"/>
      <c r="AG15" s="107"/>
      <c r="AH15" s="123"/>
    </row>
    <row r="16" spans="8:34" x14ac:dyDescent="0.25">
      <c r="J16" s="121"/>
      <c r="K16" s="107"/>
      <c r="L16" s="107"/>
      <c r="M16" s="107" t="s">
        <v>271</v>
      </c>
      <c r="N16" s="107"/>
      <c r="O16" s="107"/>
      <c r="P16" s="123"/>
      <c r="Q16" s="121"/>
      <c r="R16" s="124"/>
      <c r="S16" s="107"/>
      <c r="T16" s="107"/>
      <c r="U16" s="107"/>
      <c r="V16" s="107"/>
      <c r="W16" s="123"/>
      <c r="X16" s="117" t="s">
        <v>288</v>
      </c>
      <c r="Y16" s="109">
        <v>0.51</v>
      </c>
      <c r="Z16" s="134">
        <f>SUMIF('SETTING PRODUKSI Januari'!$B$109:$B$138,X16,'SETTING PRODUKSI Januari'!$M$109:$M$138)*1000</f>
        <v>0</v>
      </c>
      <c r="AA16" s="177">
        <f>Y16*AC15</f>
        <v>0</v>
      </c>
      <c r="AB16" s="177">
        <f>AA16-Z16</f>
        <v>0</v>
      </c>
      <c r="AC16" s="177">
        <f>IF(AD16=1,Z16/Y16,0)</f>
        <v>0</v>
      </c>
      <c r="AD16" s="169"/>
      <c r="AE16" s="121"/>
      <c r="AF16" s="107"/>
      <c r="AG16" s="107"/>
      <c r="AH16" s="123"/>
    </row>
    <row r="17" spans="10:34" x14ac:dyDescent="0.25">
      <c r="J17" s="121"/>
      <c r="K17" s="107"/>
      <c r="L17" s="107">
        <v>100</v>
      </c>
      <c r="M17" s="107">
        <v>100</v>
      </c>
      <c r="N17" s="107">
        <f>M17*R12</f>
        <v>89.80263157894737</v>
      </c>
      <c r="O17" s="107"/>
      <c r="P17" s="123"/>
      <c r="Q17" s="121"/>
      <c r="R17" s="122"/>
      <c r="S17" s="107"/>
      <c r="T17" s="107"/>
      <c r="U17" s="107"/>
      <c r="V17" s="107"/>
      <c r="W17" s="123"/>
      <c r="X17" s="117"/>
      <c r="Y17" s="38"/>
      <c r="Z17" s="38"/>
      <c r="AA17" s="146"/>
      <c r="AB17" s="146"/>
      <c r="AC17" s="146"/>
      <c r="AD17" s="130"/>
      <c r="AE17" s="121"/>
      <c r="AF17" s="107"/>
      <c r="AG17" s="107"/>
      <c r="AH17" s="123"/>
    </row>
    <row r="18" spans="10:34" x14ac:dyDescent="0.25">
      <c r="J18" s="121"/>
      <c r="K18" s="107"/>
      <c r="L18" s="107"/>
      <c r="M18" s="107"/>
      <c r="N18" s="107"/>
      <c r="O18" s="107"/>
      <c r="P18" s="123"/>
      <c r="Q18" s="121"/>
      <c r="R18" s="122"/>
      <c r="S18" s="107"/>
      <c r="T18" s="107"/>
      <c r="U18" s="107"/>
      <c r="V18" s="107"/>
      <c r="W18" s="123"/>
      <c r="X18" s="117" t="s">
        <v>114</v>
      </c>
      <c r="Y18" s="109">
        <v>0.49</v>
      </c>
      <c r="Z18" s="134">
        <f>SUMIF('SETTING PRODUKSI Januari'!$B$109:$B$138,X18,'SETTING PRODUKSI Januari'!$M$109:$M$138)*1000</f>
        <v>0</v>
      </c>
      <c r="AA18" s="177">
        <f>Y18*AC18</f>
        <v>0</v>
      </c>
      <c r="AB18" s="177">
        <f>AA18-Z18</f>
        <v>0</v>
      </c>
      <c r="AC18" s="177">
        <f>IF(AD18=1,Z18/Y18,0)</f>
        <v>0</v>
      </c>
      <c r="AD18" s="169">
        <v>1</v>
      </c>
      <c r="AE18" s="121"/>
      <c r="AF18" s="107"/>
      <c r="AG18" s="107"/>
      <c r="AH18" s="123"/>
    </row>
    <row r="19" spans="10:34" x14ac:dyDescent="0.25">
      <c r="J19" s="121"/>
      <c r="K19" s="107"/>
      <c r="L19" s="107"/>
      <c r="M19" s="107"/>
      <c r="N19" s="107"/>
      <c r="O19" s="107"/>
      <c r="P19" s="123"/>
      <c r="Q19" s="121"/>
      <c r="R19" s="122"/>
      <c r="S19" s="107"/>
      <c r="T19" s="107"/>
      <c r="U19" s="107"/>
      <c r="V19" s="107"/>
      <c r="W19" s="123"/>
      <c r="X19" s="117" t="s">
        <v>288</v>
      </c>
      <c r="Y19" s="109">
        <v>0.51</v>
      </c>
      <c r="Z19" s="134">
        <f>SUMIF('SETTING PRODUKSI Januari'!$B$109:$B$138,X19,'SETTING PRODUKSI Januari'!$M$109:$M$138)*1000</f>
        <v>0</v>
      </c>
      <c r="AA19" s="177">
        <f>Y19*AC18</f>
        <v>0</v>
      </c>
      <c r="AB19" s="177">
        <f>AA19-Z19</f>
        <v>0</v>
      </c>
      <c r="AC19" s="177">
        <f>IF(AD19=1,Z19/Y19,0)</f>
        <v>0</v>
      </c>
      <c r="AD19" s="169"/>
      <c r="AE19" s="121"/>
      <c r="AF19" s="107"/>
      <c r="AG19" s="107"/>
      <c r="AH19" s="123"/>
    </row>
    <row r="20" spans="10:34" x14ac:dyDescent="0.25">
      <c r="J20" s="121"/>
      <c r="K20" s="107"/>
      <c r="L20" s="107"/>
      <c r="M20" s="107"/>
      <c r="N20" s="107"/>
      <c r="O20" s="107"/>
      <c r="P20" s="123"/>
      <c r="Q20" s="121"/>
      <c r="R20" s="122"/>
      <c r="S20" s="107"/>
      <c r="T20" s="107"/>
      <c r="U20" s="107"/>
      <c r="V20" s="107"/>
      <c r="W20" s="123"/>
      <c r="X20" s="117"/>
      <c r="Y20" s="38"/>
      <c r="Z20" s="38"/>
      <c r="AA20" s="146"/>
      <c r="AB20" s="146"/>
      <c r="AC20" s="146"/>
      <c r="AD20" s="130"/>
      <c r="AE20" s="121"/>
      <c r="AF20" s="107"/>
      <c r="AG20" s="107"/>
      <c r="AH20" s="123"/>
    </row>
    <row r="21" spans="10:34" x14ac:dyDescent="0.25">
      <c r="J21" s="121"/>
      <c r="K21" s="107"/>
      <c r="L21" s="107"/>
      <c r="M21" s="107"/>
      <c r="N21" s="107"/>
      <c r="O21" s="107"/>
      <c r="P21" s="123"/>
      <c r="Q21" s="121"/>
      <c r="R21" s="122"/>
      <c r="S21" s="107"/>
      <c r="T21" s="107"/>
      <c r="U21" s="107"/>
      <c r="V21" s="107"/>
      <c r="W21" s="123"/>
      <c r="X21" s="117" t="s">
        <v>106</v>
      </c>
      <c r="Y21" s="109">
        <v>0.84432989690721649</v>
      </c>
      <c r="Z21" s="134">
        <v>0</v>
      </c>
      <c r="AA21" s="177">
        <f>AC21*Y21</f>
        <v>0</v>
      </c>
      <c r="AB21" s="177">
        <f>AA21-Z21</f>
        <v>0</v>
      </c>
      <c r="AC21" s="177">
        <f>IF(AD21=1,Z21/Y21,0)</f>
        <v>0</v>
      </c>
      <c r="AD21" s="169"/>
      <c r="AE21" s="121"/>
      <c r="AF21" s="107"/>
      <c r="AG21" s="107"/>
      <c r="AH21" s="123"/>
    </row>
    <row r="22" spans="10:34" ht="15.75" thickBot="1" x14ac:dyDescent="0.3">
      <c r="J22" s="121"/>
      <c r="K22" s="107"/>
      <c r="L22" s="107"/>
      <c r="M22" s="107"/>
      <c r="N22" s="107"/>
      <c r="O22" s="107"/>
      <c r="P22" s="123"/>
      <c r="Q22" s="125"/>
      <c r="R22" s="126"/>
      <c r="S22" s="127"/>
      <c r="T22" s="127"/>
      <c r="U22" s="127"/>
      <c r="V22" s="127"/>
      <c r="W22" s="128"/>
      <c r="X22" s="140" t="s">
        <v>290</v>
      </c>
      <c r="Y22" s="162">
        <v>0.15567010309278351</v>
      </c>
      <c r="Z22" s="142">
        <f>SUMIF('SETTING PRODUKSI Januari'!$B$109:$B$138,X22,'SETTING PRODUKSI Januari'!$M$109:$M$138)*1000</f>
        <v>0</v>
      </c>
      <c r="AA22" s="178">
        <f>AC21*Y22</f>
        <v>0</v>
      </c>
      <c r="AB22" s="178">
        <f>AA22-Z22</f>
        <v>0</v>
      </c>
      <c r="AC22" s="178">
        <f>IF(AD22=1,Z22/Y22,0)</f>
        <v>0</v>
      </c>
      <c r="AD22" s="168"/>
      <c r="AE22" s="121"/>
      <c r="AF22" s="107"/>
      <c r="AG22" s="107"/>
      <c r="AH22" s="123"/>
    </row>
    <row r="23" spans="10:34" ht="15.75" thickBot="1" x14ac:dyDescent="0.3">
      <c r="J23" s="121"/>
      <c r="K23" s="107"/>
      <c r="L23" s="107"/>
      <c r="M23" s="107"/>
      <c r="N23" s="107"/>
      <c r="O23" s="107"/>
      <c r="P23" s="107"/>
      <c r="Q23" s="144" t="s">
        <v>318</v>
      </c>
      <c r="R23" s="160">
        <v>0.10416666666666667</v>
      </c>
      <c r="S23" s="151">
        <f>SUMIF('SETTING PRODUKSI Januari'!$B$109:$B$138,Q23,'SETTING PRODUKSI Januari'!$M$109:$M$138)*1000</f>
        <v>0</v>
      </c>
      <c r="T23" s="181">
        <f>R23*(V12+V23)</f>
        <v>0</v>
      </c>
      <c r="U23" s="181">
        <f>T23-S23</f>
        <v>0</v>
      </c>
      <c r="V23" s="182">
        <f>IF(W23=1,(S23+SUM(AC23:AC24))/R23,0)+SUM(AC23:AC24)/R23</f>
        <v>0</v>
      </c>
      <c r="W23" s="185">
        <v>1</v>
      </c>
      <c r="X23" s="135" t="s">
        <v>323</v>
      </c>
      <c r="Y23" s="155">
        <v>0.43636363636363634</v>
      </c>
      <c r="Z23" s="129">
        <f>SUMIF('SETTING PRODUKSI Januari'!$B$109:$B$138,X23,'SETTING PRODUKSI Januari'!$M$109:$M$138)*1000</f>
        <v>0</v>
      </c>
      <c r="AA23" s="179">
        <f>Y23*AC23</f>
        <v>0</v>
      </c>
      <c r="AB23" s="179">
        <f>AA23-Z23</f>
        <v>0</v>
      </c>
      <c r="AC23" s="179">
        <f>IF(AD23=1,Z23/Y23,0)</f>
        <v>0</v>
      </c>
      <c r="AD23" s="166"/>
      <c r="AE23" s="118"/>
      <c r="AF23" s="119"/>
      <c r="AG23" s="119"/>
      <c r="AH23" s="120"/>
    </row>
    <row r="24" spans="10:34" ht="15.75" thickBot="1" x14ac:dyDescent="0.3">
      <c r="J24" s="121"/>
      <c r="K24" s="107"/>
      <c r="L24" s="107"/>
      <c r="M24" s="107"/>
      <c r="N24" s="107"/>
      <c r="O24" s="107"/>
      <c r="P24" s="107"/>
      <c r="Q24" s="125"/>
      <c r="R24" s="126"/>
      <c r="S24" s="127"/>
      <c r="T24" s="127"/>
      <c r="U24" s="127"/>
      <c r="V24" s="127"/>
      <c r="W24" s="128"/>
      <c r="X24" s="136" t="s">
        <v>321</v>
      </c>
      <c r="Y24" s="156">
        <v>0.5636363636363636</v>
      </c>
      <c r="Z24" s="137">
        <f>SUMIF('SETTING PRODUKSI Januari'!$B$109:$B$138,X24,'SETTING PRODUKSI Januari'!$M$109:$M$138)*1000</f>
        <v>0</v>
      </c>
      <c r="AA24" s="180">
        <f>Y24*AC23</f>
        <v>0</v>
      </c>
      <c r="AB24" s="180">
        <f>AA24-Z24</f>
        <v>0</v>
      </c>
      <c r="AC24" s="180">
        <f>IF(AD24=1,Z24/Y24,0)</f>
        <v>0</v>
      </c>
      <c r="AD24" s="170"/>
      <c r="AE24" s="125"/>
      <c r="AF24" s="127"/>
      <c r="AG24" s="127"/>
      <c r="AH24" s="128"/>
    </row>
    <row r="25" spans="10:34" x14ac:dyDescent="0.25">
      <c r="J25" s="135" t="s">
        <v>132</v>
      </c>
      <c r="K25" s="155">
        <v>0.33499999999999996</v>
      </c>
      <c r="L25" s="129">
        <f>SUMIF('SETTING PRODUKSI Januari'!$B$109:$B$138,J25,'SETTING PRODUKSI Januari'!$M$109:$M$138)*1000</f>
        <v>0</v>
      </c>
      <c r="M25" s="179">
        <f>K25*I10*H10</f>
        <v>0</v>
      </c>
      <c r="N25" s="179">
        <f>M25-L25</f>
        <v>0</v>
      </c>
      <c r="O25" s="179">
        <f>IF(P25=1,SUM(V25:V35)+L25,SUM(V25:V35))</f>
        <v>0</v>
      </c>
      <c r="P25" s="166"/>
      <c r="Q25" s="138" t="s">
        <v>298</v>
      </c>
      <c r="R25" s="183">
        <v>0.6</v>
      </c>
      <c r="S25" s="134">
        <f>SUMIF('SETTING PRODUKSI Januari'!$B$109:$B$138,Q25,'SETTING PRODUKSI Januari'!$M$109:$M$138)*1000</f>
        <v>0</v>
      </c>
      <c r="T25" s="177"/>
      <c r="U25" s="177"/>
      <c r="V25" s="177">
        <f>IF(W25=1,S25/R25,0)</f>
        <v>0</v>
      </c>
      <c r="W25" s="165"/>
      <c r="X25" s="121"/>
      <c r="Y25" s="107"/>
      <c r="Z25" s="107"/>
      <c r="AA25" s="107"/>
      <c r="AB25" s="107"/>
      <c r="AC25" s="107"/>
      <c r="AD25" s="123"/>
      <c r="AE25" s="121"/>
      <c r="AF25" s="107"/>
      <c r="AG25" s="107"/>
      <c r="AH25" s="123"/>
    </row>
    <row r="26" spans="10:34" ht="15.75" thickBot="1" x14ac:dyDescent="0.3">
      <c r="J26" s="121"/>
      <c r="K26" s="107"/>
      <c r="L26" s="107"/>
      <c r="M26" s="107"/>
      <c r="N26" s="107"/>
      <c r="O26" s="107"/>
      <c r="P26" s="123"/>
      <c r="Q26" s="140" t="s">
        <v>300</v>
      </c>
      <c r="R26" s="184">
        <v>0.4</v>
      </c>
      <c r="S26" s="142">
        <f>SUMIF('SETTING PRODUKSI Januari'!$B$109:$B$138,Q26,'SETTING PRODUKSI Januari'!$M$109:$M$138)*1000</f>
        <v>0</v>
      </c>
      <c r="T26" s="178"/>
      <c r="U26" s="178"/>
      <c r="V26" s="177">
        <f>IF(W26=1,S26/R26,0)</f>
        <v>0</v>
      </c>
      <c r="W26" s="168"/>
      <c r="X26" s="125"/>
      <c r="Y26" s="127"/>
      <c r="Z26" s="127"/>
      <c r="AA26" s="127"/>
      <c r="AB26" s="127"/>
      <c r="AC26" s="127"/>
      <c r="AD26" s="128"/>
      <c r="AE26" s="121"/>
      <c r="AF26" s="107"/>
      <c r="AG26" s="107"/>
      <c r="AH26" s="123"/>
    </row>
    <row r="27" spans="10:34" x14ac:dyDescent="0.25">
      <c r="J27" s="121"/>
      <c r="K27" s="107"/>
      <c r="L27" s="107"/>
      <c r="M27" s="107"/>
      <c r="N27" s="107"/>
      <c r="O27" s="107"/>
      <c r="P27" s="123"/>
      <c r="Q27" s="118" t="s">
        <v>273</v>
      </c>
      <c r="R27" s="164">
        <v>0.80190677966101698</v>
      </c>
      <c r="S27" s="129">
        <f>SUMIF('SETTING PRODUKSI Januari'!$B$109:$B$138,Q27,'SETTING PRODUKSI Januari'!$M$109:$M$138)*1000</f>
        <v>0</v>
      </c>
      <c r="T27" s="179"/>
      <c r="U27" s="179"/>
      <c r="V27" s="179">
        <f>IF(W27=1,(S27+SUM(AC27:AC34))/R27,(S27+SUM(AC27:AC34)))</f>
        <v>0</v>
      </c>
      <c r="W27" s="166">
        <v>1</v>
      </c>
      <c r="X27" s="135" t="s">
        <v>125</v>
      </c>
      <c r="Y27" s="155">
        <v>0.87714663143989435</v>
      </c>
      <c r="Z27" s="134">
        <f>SUMIF('SETTING PRODUKSI Januari'!$B$109:$B$138,X27,'SETTING PRODUKSI Januari'!$M$109:$M$138)*1000</f>
        <v>0</v>
      </c>
      <c r="AA27" s="177"/>
      <c r="AB27" s="177"/>
      <c r="AC27" s="177">
        <f>IF(AD27=1,Z27/Y27,0)</f>
        <v>0</v>
      </c>
      <c r="AD27" s="166">
        <v>1</v>
      </c>
      <c r="AE27" s="118"/>
      <c r="AF27" s="119"/>
      <c r="AG27" s="119"/>
      <c r="AH27" s="120"/>
    </row>
    <row r="28" spans="10:34" x14ac:dyDescent="0.25">
      <c r="J28" s="121"/>
      <c r="K28" s="107"/>
      <c r="L28" s="107"/>
      <c r="M28" s="107"/>
      <c r="N28" s="107"/>
      <c r="O28" s="107"/>
      <c r="P28" s="123"/>
      <c r="Q28" s="152"/>
      <c r="R28" s="107"/>
      <c r="S28" s="153"/>
      <c r="T28" s="107"/>
      <c r="U28" s="107"/>
      <c r="V28" s="107"/>
      <c r="W28" s="123"/>
      <c r="X28" s="139" t="s">
        <v>318</v>
      </c>
      <c r="Y28" s="109">
        <v>0.12285336856010567</v>
      </c>
      <c r="Z28" s="134">
        <f>SUMIF('SETTING PRODUKSI Januari'!$B$109:$B$138,X28,'SETTING PRODUKSI Januari'!$M$109:$M$138)*1000</f>
        <v>0</v>
      </c>
      <c r="AA28" s="177"/>
      <c r="AB28" s="177"/>
      <c r="AC28" s="177">
        <f>IF(AD28=1,Z28/Y28,0)</f>
        <v>0</v>
      </c>
      <c r="AD28" s="169"/>
      <c r="AE28" s="121"/>
      <c r="AF28" s="107"/>
      <c r="AG28" s="107"/>
      <c r="AH28" s="123"/>
    </row>
    <row r="29" spans="10:34" x14ac:dyDescent="0.25">
      <c r="J29" s="121"/>
      <c r="K29" s="107"/>
      <c r="L29" s="107"/>
      <c r="M29" s="107"/>
      <c r="N29" s="107"/>
      <c r="O29" s="107"/>
      <c r="P29" s="123"/>
      <c r="Q29" s="121"/>
      <c r="R29" s="107"/>
      <c r="S29" s="107"/>
      <c r="T29" s="107"/>
      <c r="U29" s="107"/>
      <c r="V29" s="107"/>
      <c r="W29" s="123"/>
      <c r="X29" s="139"/>
      <c r="Y29" s="38"/>
      <c r="Z29" s="38"/>
      <c r="AA29" s="146"/>
      <c r="AB29" s="146"/>
      <c r="AC29" s="146"/>
      <c r="AD29" s="130"/>
      <c r="AE29" s="121"/>
      <c r="AF29" s="107"/>
      <c r="AG29" s="107"/>
      <c r="AH29" s="123"/>
    </row>
    <row r="30" spans="10:34" x14ac:dyDescent="0.25">
      <c r="J30" s="121"/>
      <c r="K30" s="107"/>
      <c r="L30" s="107"/>
      <c r="M30" s="107"/>
      <c r="N30" s="107"/>
      <c r="O30" s="107"/>
      <c r="P30" s="123"/>
      <c r="Q30" s="121"/>
      <c r="R30" s="107"/>
      <c r="S30" s="107"/>
      <c r="T30" s="107"/>
      <c r="U30" s="107"/>
      <c r="V30" s="107"/>
      <c r="W30" s="123"/>
      <c r="X30" s="139" t="s">
        <v>275</v>
      </c>
      <c r="Y30" s="109">
        <v>0.38</v>
      </c>
      <c r="Z30" s="134">
        <f>SUMIF('SETTING PRODUKSI Januari'!$B$109:$B$138,X30,'SETTING PRODUKSI Januari'!$M$109:$M$138)*1000</f>
        <v>0</v>
      </c>
      <c r="AA30" s="177"/>
      <c r="AB30" s="177"/>
      <c r="AC30" s="177">
        <f>IF(AD30=1,Z30/Y30,0)</f>
        <v>0</v>
      </c>
      <c r="AD30" s="169">
        <v>1</v>
      </c>
      <c r="AE30" s="121"/>
      <c r="AF30" s="107"/>
      <c r="AG30" s="107"/>
      <c r="AH30" s="123"/>
    </row>
    <row r="31" spans="10:34" x14ac:dyDescent="0.25">
      <c r="J31" s="121"/>
      <c r="K31" s="107"/>
      <c r="L31" s="107"/>
      <c r="M31" s="107"/>
      <c r="N31" s="107"/>
      <c r="O31" s="107"/>
      <c r="P31" s="123"/>
      <c r="Q31" s="121"/>
      <c r="R31" s="107"/>
      <c r="S31" s="107"/>
      <c r="T31" s="107"/>
      <c r="U31" s="107"/>
      <c r="V31" s="107"/>
      <c r="W31" s="123"/>
      <c r="X31" s="139" t="s">
        <v>286</v>
      </c>
      <c r="Y31" s="109">
        <v>0.62</v>
      </c>
      <c r="Z31" s="134">
        <f>SUMIF('SETTING PRODUKSI Januari'!$B$109:$B$138,X31,'SETTING PRODUKSI Januari'!$M$109:$M$138)*1000</f>
        <v>0</v>
      </c>
      <c r="AA31" s="177"/>
      <c r="AB31" s="177"/>
      <c r="AC31" s="177">
        <f>IF(AD31=1,Z31/Y31,0)</f>
        <v>0</v>
      </c>
      <c r="AD31" s="169"/>
      <c r="AE31" s="121"/>
      <c r="AF31" s="107"/>
      <c r="AG31" s="107"/>
      <c r="AH31" s="123"/>
    </row>
    <row r="32" spans="10:34" x14ac:dyDescent="0.25">
      <c r="J32" s="121"/>
      <c r="K32" s="107"/>
      <c r="L32" s="107"/>
      <c r="M32" s="107"/>
      <c r="N32" s="107"/>
      <c r="O32" s="107"/>
      <c r="P32" s="123"/>
      <c r="Q32" s="121"/>
      <c r="R32" s="107"/>
      <c r="S32" s="107"/>
      <c r="T32" s="107"/>
      <c r="U32" s="107"/>
      <c r="V32" s="107"/>
      <c r="W32" s="123"/>
      <c r="X32" s="139"/>
      <c r="Y32" s="109"/>
      <c r="Z32" s="38"/>
      <c r="AA32" s="146"/>
      <c r="AB32" s="146"/>
      <c r="AC32" s="146"/>
      <c r="AD32" s="130"/>
      <c r="AE32" s="121"/>
      <c r="AF32" s="107"/>
      <c r="AG32" s="107"/>
      <c r="AH32" s="123"/>
    </row>
    <row r="33" spans="10:34" x14ac:dyDescent="0.25">
      <c r="J33" s="121"/>
      <c r="K33" s="107"/>
      <c r="L33" s="107"/>
      <c r="M33" s="107"/>
      <c r="N33" s="107"/>
      <c r="O33" s="107"/>
      <c r="P33" s="123"/>
      <c r="Q33" s="121"/>
      <c r="R33" s="107"/>
      <c r="S33" s="107"/>
      <c r="T33" s="107"/>
      <c r="U33" s="107"/>
      <c r="V33" s="107"/>
      <c r="W33" s="123"/>
      <c r="X33" s="139" t="s">
        <v>277</v>
      </c>
      <c r="Y33" s="109">
        <v>0.38</v>
      </c>
      <c r="Z33" s="134">
        <f>SUMIF('SETTING PRODUKSI Januari'!$B$109:$B$138,X33,'SETTING PRODUKSI Januari'!$M$109:$M$138)*1000</f>
        <v>0</v>
      </c>
      <c r="AA33" s="177"/>
      <c r="AB33" s="177"/>
      <c r="AC33" s="177">
        <f>IF(AD33=1,Z33/Y33,0)</f>
        <v>0</v>
      </c>
      <c r="AD33" s="169">
        <v>1</v>
      </c>
      <c r="AE33" s="121"/>
      <c r="AF33" s="107"/>
      <c r="AG33" s="107"/>
      <c r="AH33" s="123"/>
    </row>
    <row r="34" spans="10:34" ht="15.75" thickBot="1" x14ac:dyDescent="0.3">
      <c r="J34" s="121"/>
      <c r="K34" s="107"/>
      <c r="L34" s="107"/>
      <c r="M34" s="107"/>
      <c r="N34" s="107"/>
      <c r="O34" s="107"/>
      <c r="P34" s="123"/>
      <c r="Q34" s="125"/>
      <c r="R34" s="127"/>
      <c r="S34" s="127"/>
      <c r="T34" s="127"/>
      <c r="U34" s="127"/>
      <c r="V34" s="127"/>
      <c r="W34" s="128"/>
      <c r="X34" s="136" t="s">
        <v>286</v>
      </c>
      <c r="Y34" s="109">
        <v>0.62</v>
      </c>
      <c r="Z34" s="134">
        <f>SUMIF('SETTING PRODUKSI Januari'!$B$109:$B$138,X34,'SETTING PRODUKSI Januari'!$M$109:$M$138)*1000</f>
        <v>0</v>
      </c>
      <c r="AA34" s="177"/>
      <c r="AB34" s="177"/>
      <c r="AC34" s="177">
        <f>IF(AD34=1,Z34/Y34,0)</f>
        <v>0</v>
      </c>
      <c r="AD34" s="170"/>
      <c r="AE34" s="125"/>
      <c r="AF34" s="127"/>
      <c r="AG34" s="127"/>
      <c r="AH34" s="128"/>
    </row>
    <row r="35" spans="10:34" ht="15.75" thickBot="1" x14ac:dyDescent="0.3">
      <c r="J35" s="125"/>
      <c r="K35" s="127"/>
      <c r="L35" s="127"/>
      <c r="M35" s="127"/>
      <c r="N35" s="127"/>
      <c r="O35" s="127"/>
      <c r="P35" s="128"/>
      <c r="Q35" s="141" t="s">
        <v>333</v>
      </c>
      <c r="R35" s="163">
        <v>0.19809322033898305</v>
      </c>
      <c r="S35" s="142">
        <f>SUMIF('SETTING PRODUKSI Januari'!$B$109:$B$138,Q35,'SETTING PRODUKSI Januari'!$M$109:$M$138)*1000</f>
        <v>0</v>
      </c>
      <c r="T35" s="178"/>
      <c r="U35" s="178"/>
      <c r="V35" s="178"/>
      <c r="W35" s="143"/>
      <c r="X35" s="118"/>
      <c r="Y35" s="119"/>
      <c r="Z35" s="119"/>
      <c r="AA35" s="119"/>
      <c r="AB35" s="119"/>
      <c r="AC35" s="119"/>
      <c r="AD35" s="120"/>
      <c r="AE35" s="125"/>
      <c r="AF35" s="127"/>
      <c r="AG35" s="127"/>
      <c r="AH35" s="128"/>
    </row>
    <row r="36" spans="10:34" ht="15.75" thickBot="1" x14ac:dyDescent="0.3">
      <c r="J36" s="144" t="s">
        <v>129</v>
      </c>
      <c r="K36" s="158">
        <v>0.1</v>
      </c>
      <c r="L36" s="154">
        <f>SUMIF('SETTING PRODUKSI Januari'!$B$109:$B$138,J36,'SETTING PRODUKSI Januari'!$M$109:$M$138)*1000</f>
        <v>0</v>
      </c>
      <c r="M36" s="182">
        <f>K36*I10*H10</f>
        <v>0</v>
      </c>
      <c r="N36" s="182">
        <f>M36-L36</f>
        <v>0</v>
      </c>
      <c r="O36" s="182"/>
      <c r="P36" s="167"/>
      <c r="Q36" s="132"/>
      <c r="R36" s="132"/>
      <c r="S36" s="132"/>
      <c r="T36" s="132"/>
      <c r="U36" s="132"/>
      <c r="V36" s="132"/>
      <c r="W36" s="133"/>
      <c r="X36" s="132"/>
      <c r="Y36" s="132"/>
      <c r="Z36" s="132"/>
      <c r="AA36" s="132"/>
      <c r="AB36" s="132"/>
      <c r="AC36" s="132"/>
      <c r="AD36" s="133"/>
      <c r="AE36" s="125"/>
      <c r="AF36" s="127"/>
      <c r="AG36" s="127"/>
      <c r="AH36" s="128"/>
    </row>
    <row r="37" spans="10:34" x14ac:dyDescent="0.25">
      <c r="J37" s="121"/>
      <c r="K37" s="107"/>
      <c r="L37" s="107"/>
      <c r="M37" s="107"/>
      <c r="N37" s="107"/>
      <c r="O37" s="107"/>
      <c r="P37" s="123"/>
      <c r="Q37" s="107"/>
      <c r="R37" s="107"/>
      <c r="S37" s="107"/>
      <c r="T37" s="107"/>
      <c r="U37" s="107"/>
      <c r="V37" s="107"/>
      <c r="W37" s="123"/>
      <c r="X37" s="107"/>
      <c r="Y37" s="107"/>
      <c r="Z37" s="107"/>
      <c r="AA37" s="107"/>
      <c r="AB37" s="107"/>
      <c r="AC37" s="107"/>
      <c r="AD37" s="123"/>
      <c r="AE37" s="121"/>
      <c r="AF37" s="107"/>
      <c r="AG37" s="107"/>
      <c r="AH37" s="123"/>
    </row>
    <row r="38" spans="10:34" ht="15.75" thickBot="1" x14ac:dyDescent="0.3">
      <c r="J38" s="121"/>
      <c r="K38" s="107"/>
      <c r="L38" s="107"/>
      <c r="M38" s="107"/>
      <c r="N38" s="107"/>
      <c r="O38" s="107"/>
      <c r="P38" s="123"/>
      <c r="Q38" s="127"/>
      <c r="R38" s="127"/>
      <c r="S38" s="127"/>
      <c r="T38" s="127"/>
      <c r="U38" s="127"/>
      <c r="V38" s="127"/>
      <c r="W38" s="128"/>
      <c r="X38" s="127"/>
      <c r="Y38" s="127"/>
      <c r="Z38" s="127"/>
      <c r="AA38" s="127"/>
      <c r="AB38" s="127"/>
      <c r="AC38" s="127"/>
      <c r="AD38" s="128"/>
      <c r="AE38" s="125"/>
      <c r="AF38" s="127"/>
      <c r="AG38" s="127"/>
      <c r="AH38" s="128"/>
    </row>
    <row r="39" spans="10:34" ht="15.75" thickBot="1" x14ac:dyDescent="0.3">
      <c r="J39" s="144" t="s">
        <v>325</v>
      </c>
      <c r="K39" s="158">
        <v>0.20599999999999999</v>
      </c>
      <c r="L39" s="154">
        <f>SUMIF('SETTING PRODUKSI Januari'!$B$109:$B$138,J39,'SETTING PRODUKSI Januari'!$M$109:$M$138)*1000</f>
        <v>0</v>
      </c>
      <c r="M39" s="182">
        <f>K39*I10*H10</f>
        <v>0</v>
      </c>
      <c r="N39" s="182"/>
      <c r="O39" s="182"/>
      <c r="P39" s="145"/>
      <c r="Q39" s="131"/>
      <c r="R39" s="132"/>
      <c r="S39" s="132"/>
      <c r="T39" s="132"/>
      <c r="U39" s="132"/>
      <c r="V39" s="132"/>
      <c r="W39" s="133"/>
      <c r="X39" s="131"/>
      <c r="Y39" s="132"/>
      <c r="Z39" s="132"/>
      <c r="AA39" s="132"/>
      <c r="AB39" s="132"/>
      <c r="AC39" s="132"/>
      <c r="AD39" s="133"/>
      <c r="AE39" s="125"/>
      <c r="AF39" s="127"/>
      <c r="AG39" s="127"/>
      <c r="AH39" s="128"/>
    </row>
    <row r="41" spans="10:34" x14ac:dyDescent="0.25">
      <c r="K41" s="101"/>
    </row>
  </sheetData>
  <mergeCells count="1">
    <mergeCell ref="J6:Y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2"/>
  <sheetViews>
    <sheetView showGridLines="0" tabSelected="1" topLeftCell="A4" workbookViewId="0">
      <selection activeCell="C19" sqref="C19"/>
    </sheetView>
  </sheetViews>
  <sheetFormatPr defaultRowHeight="15" x14ac:dyDescent="0.25"/>
  <cols>
    <col min="2" max="2" width="18.85546875" customWidth="1"/>
    <col min="3" max="3" width="11.140625" style="215" bestFit="1" customWidth="1"/>
    <col min="4" max="4" width="11.7109375" style="215" bestFit="1" customWidth="1"/>
    <col min="5" max="5" width="13.42578125" style="215" customWidth="1"/>
    <col min="6" max="6" width="11" style="215" customWidth="1"/>
    <col min="7" max="7" width="12.140625" style="215" customWidth="1"/>
    <col min="8" max="8" width="12.7109375" style="215" bestFit="1" customWidth="1"/>
    <col min="9" max="9" width="10.5703125" style="215" bestFit="1" customWidth="1"/>
    <col min="10" max="10" width="9.5703125" style="215" bestFit="1" customWidth="1"/>
    <col min="11" max="11" width="15.140625" customWidth="1"/>
    <col min="12" max="12" width="9.85546875" customWidth="1"/>
    <col min="13" max="13" width="15.42578125" bestFit="1" customWidth="1"/>
  </cols>
  <sheetData>
    <row r="2" spans="1:14" ht="18.75" x14ac:dyDescent="0.3">
      <c r="B2" s="90" t="s">
        <v>529</v>
      </c>
    </row>
    <row r="3" spans="1:14" ht="18.75" x14ac:dyDescent="0.3">
      <c r="B3" s="90" t="s">
        <v>530</v>
      </c>
    </row>
    <row r="4" spans="1:14" x14ac:dyDescent="0.25">
      <c r="C4"/>
      <c r="D4"/>
      <c r="E4"/>
      <c r="F4" s="216">
        <f>(2.53%+2.77%+2.81%)/3</f>
        <v>2.7033333333333336E-2</v>
      </c>
      <c r="G4"/>
      <c r="H4"/>
      <c r="I4" s="216">
        <v>0.74829999999999997</v>
      </c>
      <c r="J4" s="216">
        <v>0.20849999999999999</v>
      </c>
    </row>
    <row r="5" spans="1:14" x14ac:dyDescent="0.25">
      <c r="B5" s="217" t="s">
        <v>531</v>
      </c>
      <c r="C5"/>
      <c r="D5"/>
      <c r="E5"/>
      <c r="G5"/>
    </row>
    <row r="6" spans="1:14" ht="30" x14ac:dyDescent="0.25">
      <c r="B6" s="250" t="s">
        <v>532</v>
      </c>
      <c r="C6" s="250" t="s">
        <v>533</v>
      </c>
      <c r="D6" s="250"/>
      <c r="E6" s="218" t="s">
        <v>534</v>
      </c>
      <c r="F6" s="218" t="s">
        <v>535</v>
      </c>
      <c r="G6" s="250" t="s">
        <v>536</v>
      </c>
      <c r="H6" s="250"/>
      <c r="I6" s="218" t="s">
        <v>537</v>
      </c>
      <c r="J6" s="218" t="s">
        <v>538</v>
      </c>
      <c r="K6" s="219" t="s">
        <v>539</v>
      </c>
    </row>
    <row r="7" spans="1:14" x14ac:dyDescent="0.25">
      <c r="B7" s="250"/>
      <c r="C7" s="220" t="s">
        <v>540</v>
      </c>
      <c r="D7" s="220" t="s">
        <v>541</v>
      </c>
      <c r="E7" s="220" t="s">
        <v>542</v>
      </c>
      <c r="F7" s="218" t="s">
        <v>543</v>
      </c>
      <c r="G7" s="218" t="s">
        <v>543</v>
      </c>
      <c r="H7" s="218" t="s">
        <v>544</v>
      </c>
      <c r="I7" s="218" t="s">
        <v>544</v>
      </c>
      <c r="J7" s="218" t="s">
        <v>544</v>
      </c>
      <c r="K7" s="219" t="s">
        <v>544</v>
      </c>
    </row>
    <row r="8" spans="1:14" x14ac:dyDescent="0.25">
      <c r="B8" s="38" t="s">
        <v>545</v>
      </c>
      <c r="C8" s="38">
        <v>1</v>
      </c>
      <c r="D8" s="38">
        <f>C8*25</f>
        <v>25</v>
      </c>
      <c r="E8" s="60">
        <f>D8*2500</f>
        <v>62500</v>
      </c>
      <c r="F8" s="60">
        <f>E8*$F$4</f>
        <v>1689.5833333333335</v>
      </c>
      <c r="G8" s="221">
        <f>E8-F8</f>
        <v>60810.416666666664</v>
      </c>
      <c r="H8" s="60">
        <f>G8*1.1</f>
        <v>66891.458333333343</v>
      </c>
      <c r="I8" s="60">
        <f>H8*$I$4</f>
        <v>50054.878270833338</v>
      </c>
      <c r="J8" s="60">
        <f>H8*$J$4</f>
        <v>13946.869062500002</v>
      </c>
      <c r="K8" s="222">
        <f>I8+J8</f>
        <v>64001.74733333334</v>
      </c>
      <c r="L8" s="223"/>
    </row>
    <row r="9" spans="1:14" x14ac:dyDescent="0.25">
      <c r="B9" s="38" t="s">
        <v>546</v>
      </c>
      <c r="C9" s="38">
        <v>19</v>
      </c>
      <c r="D9" s="38">
        <f>C9*25</f>
        <v>475</v>
      </c>
      <c r="E9" s="60">
        <f>D9*1950</f>
        <v>926250</v>
      </c>
      <c r="F9" s="60">
        <f>E9*$F$4</f>
        <v>25039.625000000004</v>
      </c>
      <c r="G9" s="221">
        <f>E9-F9</f>
        <v>901210.375</v>
      </c>
      <c r="H9" s="60">
        <f>G9*1.6</f>
        <v>1441936.6</v>
      </c>
      <c r="I9" s="60">
        <f>H9*$I$4</f>
        <v>1079001.15778</v>
      </c>
      <c r="J9" s="60">
        <f t="shared" ref="J9:J10" si="0">H9*$J$4</f>
        <v>300643.78110000002</v>
      </c>
      <c r="K9" s="222">
        <f t="shared" ref="K9:K10" si="1">I9+J9</f>
        <v>1379644.93888</v>
      </c>
      <c r="L9" s="223"/>
    </row>
    <row r="10" spans="1:14" x14ac:dyDescent="0.25">
      <c r="B10" s="38" t="s">
        <v>547</v>
      </c>
      <c r="C10" s="38">
        <v>4</v>
      </c>
      <c r="D10" s="38">
        <f t="shared" ref="D10" si="2">C10*25</f>
        <v>100</v>
      </c>
      <c r="E10" s="60">
        <f>D10*1700</f>
        <v>170000</v>
      </c>
      <c r="F10" s="60">
        <f>E10*$F$4</f>
        <v>4595.666666666667</v>
      </c>
      <c r="G10" s="221">
        <f>E10-F10</f>
        <v>165404.33333333334</v>
      </c>
      <c r="H10" s="60">
        <f>G10*1.9</f>
        <v>314268.23333333334</v>
      </c>
      <c r="I10" s="60">
        <f>H10*$I$4</f>
        <v>235166.91900333331</v>
      </c>
      <c r="J10" s="60">
        <f t="shared" si="0"/>
        <v>65524.926650000001</v>
      </c>
      <c r="K10" s="222">
        <f t="shared" si="1"/>
        <v>300691.84565333329</v>
      </c>
      <c r="L10" s="223"/>
    </row>
    <row r="11" spans="1:14" x14ac:dyDescent="0.25">
      <c r="A11" s="224"/>
      <c r="B11" s="225" t="s">
        <v>80</v>
      </c>
      <c r="C11" s="225">
        <f>SUM(C8:C10)</f>
        <v>24</v>
      </c>
      <c r="D11" s="225">
        <f t="shared" ref="D11:K11" si="3">SUM(D8:D10)</f>
        <v>600</v>
      </c>
      <c r="E11" s="225">
        <f t="shared" si="3"/>
        <v>1158750</v>
      </c>
      <c r="F11" s="225">
        <f t="shared" si="3"/>
        <v>31324.875000000004</v>
      </c>
      <c r="G11" s="225">
        <f t="shared" si="3"/>
        <v>1127425.125</v>
      </c>
      <c r="H11" s="225">
        <f t="shared" si="3"/>
        <v>1823096.2916666667</v>
      </c>
      <c r="I11" s="225">
        <f t="shared" si="3"/>
        <v>1364222.9550541667</v>
      </c>
      <c r="J11" s="225">
        <f t="shared" si="3"/>
        <v>380115.57681250002</v>
      </c>
      <c r="K11" s="226">
        <f t="shared" si="3"/>
        <v>1744338.5318666666</v>
      </c>
      <c r="L11" s="223"/>
      <c r="M11" s="224"/>
      <c r="N11" s="224"/>
    </row>
    <row r="12" spans="1:14" x14ac:dyDescent="0.25">
      <c r="C12"/>
      <c r="D12"/>
      <c r="E12" s="223"/>
      <c r="F12"/>
      <c r="G12"/>
      <c r="H12"/>
      <c r="K12" s="215"/>
    </row>
    <row r="13" spans="1:14" x14ac:dyDescent="0.25">
      <c r="B13" s="217" t="s">
        <v>548</v>
      </c>
      <c r="C13"/>
      <c r="D13"/>
      <c r="E13"/>
      <c r="F13"/>
      <c r="G13"/>
      <c r="H13"/>
      <c r="I13"/>
      <c r="K13" s="215"/>
      <c r="L13" s="215"/>
      <c r="M13">
        <v>2000</v>
      </c>
    </row>
    <row r="14" spans="1:14" ht="30" x14ac:dyDescent="0.25">
      <c r="B14" s="250" t="s">
        <v>549</v>
      </c>
      <c r="C14" s="218" t="s">
        <v>550</v>
      </c>
      <c r="D14" s="218" t="s">
        <v>551</v>
      </c>
      <c r="E14" s="219" t="s">
        <v>552</v>
      </c>
      <c r="F14" s="250" t="s">
        <v>553</v>
      </c>
      <c r="G14" s="250"/>
      <c r="H14" s="219" t="s">
        <v>554</v>
      </c>
      <c r="I14"/>
      <c r="K14" s="215"/>
      <c r="L14" s="215"/>
      <c r="M14">
        <v>24</v>
      </c>
    </row>
    <row r="15" spans="1:14" x14ac:dyDescent="0.25">
      <c r="B15" s="250"/>
      <c r="C15" s="218" t="s">
        <v>544</v>
      </c>
      <c r="D15" s="218" t="s">
        <v>544</v>
      </c>
      <c r="E15" s="219" t="s">
        <v>544</v>
      </c>
      <c r="F15" s="218" t="s">
        <v>555</v>
      </c>
      <c r="G15" s="219" t="s">
        <v>544</v>
      </c>
      <c r="H15" s="219" t="s">
        <v>544</v>
      </c>
      <c r="I15"/>
      <c r="K15" s="215"/>
      <c r="L15" s="215"/>
      <c r="M15">
        <f>M13*M14</f>
        <v>48000</v>
      </c>
    </row>
    <row r="16" spans="1:14" x14ac:dyDescent="0.25">
      <c r="B16" s="38" t="s">
        <v>556</v>
      </c>
      <c r="C16" s="60">
        <f>'SETTING PRODUKSI Januari'!L136*1000+200000</f>
        <v>554439.56984615384</v>
      </c>
      <c r="D16" s="60">
        <v>0</v>
      </c>
      <c r="E16" s="227">
        <f>C16+D16</f>
        <v>554439.56984615384</v>
      </c>
      <c r="F16" s="228">
        <f>G16/$E$22</f>
        <v>3.5737776107361847E-2</v>
      </c>
      <c r="G16" s="227">
        <v>45910</v>
      </c>
      <c r="H16" s="227">
        <f>E16+G16</f>
        <v>600349.56984615384</v>
      </c>
      <c r="I16" s="233">
        <v>593217</v>
      </c>
      <c r="J16" s="233">
        <f>I16-H16</f>
        <v>-7132.5698461538414</v>
      </c>
      <c r="K16" s="215"/>
      <c r="M16">
        <f>M15*1.5</f>
        <v>72000</v>
      </c>
    </row>
    <row r="17" spans="1:14" x14ac:dyDescent="0.25">
      <c r="B17" s="38" t="s">
        <v>557</v>
      </c>
      <c r="C17" s="60">
        <f>'SETTING PRODUKSI Januari'!L82*1000-300000</f>
        <v>510230.32615384599</v>
      </c>
      <c r="D17" s="60">
        <v>0</v>
      </c>
      <c r="E17" s="227">
        <f>C17+D17</f>
        <v>510230.32615384599</v>
      </c>
      <c r="F17" s="228">
        <f t="shared" ref="F17:F21" si="4">G17/$E$22</f>
        <v>0.23433892658157723</v>
      </c>
      <c r="G17" s="227">
        <v>301040</v>
      </c>
      <c r="H17" s="227">
        <f t="shared" ref="H17:H21" si="5">E17+G17</f>
        <v>811270.32615384599</v>
      </c>
      <c r="I17" s="233">
        <v>818479</v>
      </c>
      <c r="J17" s="233">
        <f t="shared" ref="J17:J20" si="6">I17-H17</f>
        <v>7208.6738461540081</v>
      </c>
      <c r="K17" s="215"/>
      <c r="M17">
        <f>M16*24</f>
        <v>1728000</v>
      </c>
    </row>
    <row r="18" spans="1:14" x14ac:dyDescent="0.25">
      <c r="B18" s="38" t="s">
        <v>558</v>
      </c>
      <c r="C18" s="60">
        <f>'SETTING PRODUKSI Januari'!L205*1000-15000</f>
        <v>9045.8981538461521</v>
      </c>
      <c r="D18" s="60">
        <v>0</v>
      </c>
      <c r="E18" s="227">
        <f>C18+D18</f>
        <v>9045.8981538461521</v>
      </c>
      <c r="F18" s="228">
        <f t="shared" si="4"/>
        <v>3.2149208303943462E-3</v>
      </c>
      <c r="G18" s="227">
        <f>39130-35000</f>
        <v>4130</v>
      </c>
      <c r="H18" s="227">
        <f t="shared" si="5"/>
        <v>13175.898153846152</v>
      </c>
      <c r="I18" s="233">
        <v>26260</v>
      </c>
      <c r="J18" s="233">
        <f t="shared" si="6"/>
        <v>13084.101846153848</v>
      </c>
    </row>
    <row r="19" spans="1:14" x14ac:dyDescent="0.25">
      <c r="B19" s="38" t="s">
        <v>559</v>
      </c>
      <c r="C19" s="60">
        <f>'SETTING PRODUKSI Januari'!L176*1000+50000+50000+3000</f>
        <v>204472.26153846155</v>
      </c>
      <c r="D19" s="60">
        <v>0</v>
      </c>
      <c r="E19" s="227">
        <f>C19+D19</f>
        <v>204472.26153846155</v>
      </c>
      <c r="F19" s="228">
        <f t="shared" si="4"/>
        <v>0.18609954550178603</v>
      </c>
      <c r="G19" s="227">
        <f>142070+97000</f>
        <v>239070</v>
      </c>
      <c r="H19" s="227">
        <f t="shared" si="5"/>
        <v>443542.26153846155</v>
      </c>
      <c r="I19" s="233">
        <v>439761</v>
      </c>
      <c r="J19" s="233">
        <f t="shared" si="6"/>
        <v>-3781.2615384615492</v>
      </c>
    </row>
    <row r="20" spans="1:14" x14ac:dyDescent="0.25">
      <c r="B20" s="38" t="s">
        <v>560</v>
      </c>
      <c r="C20" s="60">
        <f>6447</f>
        <v>6447</v>
      </c>
      <c r="D20" s="60">
        <v>0</v>
      </c>
      <c r="E20" s="227">
        <f t="shared" ref="E20:E21" si="7">C20+D20</f>
        <v>6447</v>
      </c>
      <c r="F20" s="228">
        <f t="shared" si="4"/>
        <v>0.11860956099931877</v>
      </c>
      <c r="G20" s="227">
        <f>202370-50000</f>
        <v>152370</v>
      </c>
      <c r="H20" s="227">
        <f t="shared" si="5"/>
        <v>158817</v>
      </c>
      <c r="I20" s="233">
        <v>158817</v>
      </c>
      <c r="J20" s="233">
        <f t="shared" si="6"/>
        <v>0</v>
      </c>
    </row>
    <row r="21" spans="1:14" x14ac:dyDescent="0.25">
      <c r="B21" s="38" t="s">
        <v>561</v>
      </c>
      <c r="C21" s="60">
        <v>0</v>
      </c>
      <c r="D21" s="60">
        <v>0</v>
      </c>
      <c r="E21" s="227">
        <f t="shared" si="7"/>
        <v>0</v>
      </c>
      <c r="F21" s="228">
        <f t="shared" si="4"/>
        <v>3.0148640135877246E-3</v>
      </c>
      <c r="G21" s="227">
        <v>3873</v>
      </c>
      <c r="H21" s="227">
        <f t="shared" si="5"/>
        <v>3873</v>
      </c>
      <c r="J21"/>
    </row>
    <row r="22" spans="1:14" x14ac:dyDescent="0.25">
      <c r="A22" s="68"/>
      <c r="B22" s="51" t="s">
        <v>80</v>
      </c>
      <c r="C22" s="225">
        <f>SUM(C16:C21)</f>
        <v>1284635.0556923074</v>
      </c>
      <c r="D22" s="225">
        <f>SUM(D16:D20)</f>
        <v>0</v>
      </c>
      <c r="E22" s="226">
        <f>SUM(E16:E21)</f>
        <v>1284635.0556923074</v>
      </c>
      <c r="F22" s="225"/>
      <c r="G22" s="226">
        <f>SUM(G16:G21)</f>
        <v>746393</v>
      </c>
      <c r="H22" s="226">
        <f>SUM(H16:H21)</f>
        <v>2031028.0556923074</v>
      </c>
      <c r="I22" s="224"/>
      <c r="J22" s="68"/>
      <c r="K22" s="68"/>
      <c r="L22" s="68"/>
      <c r="M22" s="68"/>
      <c r="N22" s="68"/>
    </row>
    <row r="23" spans="1:14" x14ac:dyDescent="0.25">
      <c r="D23" s="229" t="s">
        <v>562</v>
      </c>
      <c r="E23" s="234">
        <f>E22/I11</f>
        <v>0.94166063613942108</v>
      </c>
      <c r="F23" s="215">
        <f>I11-E22</f>
        <v>79587.899361859309</v>
      </c>
      <c r="K23" s="215"/>
    </row>
    <row r="24" spans="1:14" x14ac:dyDescent="0.25">
      <c r="F24" s="102">
        <f>F23/I11</f>
        <v>5.8339363860578974E-2</v>
      </c>
      <c r="J24"/>
    </row>
    <row r="26" spans="1:14" x14ac:dyDescent="0.25">
      <c r="B26" t="s">
        <v>563</v>
      </c>
      <c r="D26" s="249" t="s">
        <v>564</v>
      </c>
      <c r="E26" s="249"/>
      <c r="F26" s="249"/>
      <c r="H26" s="215" t="s">
        <v>565</v>
      </c>
    </row>
    <row r="32" spans="1:14" x14ac:dyDescent="0.25">
      <c r="B32" s="68" t="s">
        <v>566</v>
      </c>
      <c r="C32" s="224"/>
      <c r="D32" s="224" t="s">
        <v>567</v>
      </c>
      <c r="E32" s="224"/>
      <c r="F32" s="224" t="s">
        <v>568</v>
      </c>
      <c r="G32" s="224"/>
      <c r="H32" s="224" t="s">
        <v>569</v>
      </c>
    </row>
    <row r="33" spans="2:10" x14ac:dyDescent="0.25">
      <c r="B33" t="s">
        <v>570</v>
      </c>
      <c r="D33" s="215" t="s">
        <v>571</v>
      </c>
      <c r="F33" s="215" t="s">
        <v>572</v>
      </c>
      <c r="H33" s="230" t="s">
        <v>573</v>
      </c>
    </row>
    <row r="35" spans="2:10" x14ac:dyDescent="0.25">
      <c r="B35" s="231"/>
    </row>
    <row r="36" spans="2:10" x14ac:dyDescent="0.25">
      <c r="B36" s="232"/>
    </row>
    <row r="37" spans="2:10" x14ac:dyDescent="0.25">
      <c r="B37" s="232"/>
    </row>
    <row r="38" spans="2:10" x14ac:dyDescent="0.25">
      <c r="B38" s="232"/>
    </row>
    <row r="39" spans="2:10" x14ac:dyDescent="0.25">
      <c r="B39" s="232"/>
    </row>
    <row r="40" spans="2:10" x14ac:dyDescent="0.25">
      <c r="B40" s="232"/>
      <c r="C40"/>
      <c r="D40"/>
      <c r="E40"/>
      <c r="F40"/>
      <c r="G40"/>
      <c r="H40"/>
      <c r="I40"/>
      <c r="J40"/>
    </row>
    <row r="42" spans="2:10" x14ac:dyDescent="0.25">
      <c r="B42" s="232"/>
      <c r="C42"/>
      <c r="D42"/>
      <c r="E42"/>
      <c r="F42"/>
      <c r="G42"/>
      <c r="H42"/>
      <c r="I42"/>
      <c r="J42"/>
    </row>
  </sheetData>
  <mergeCells count="6">
    <mergeCell ref="D26:F26"/>
    <mergeCell ref="B6:B7"/>
    <mergeCell ref="C6:D6"/>
    <mergeCell ref="G6:H6"/>
    <mergeCell ref="B14:B15"/>
    <mergeCell ref="F14:G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176"/>
  <sheetViews>
    <sheetView showGridLines="0" zoomScale="70" zoomScaleNormal="70" workbookViewId="0">
      <selection activeCell="D65" sqref="D65"/>
    </sheetView>
  </sheetViews>
  <sheetFormatPr defaultRowHeight="15" x14ac:dyDescent="0.25"/>
  <cols>
    <col min="2" max="2" width="15.85546875" bestFit="1" customWidth="1"/>
    <col min="3" max="3" width="30.7109375" bestFit="1" customWidth="1"/>
    <col min="4" max="4" width="10" bestFit="1" customWidth="1"/>
    <col min="6" max="6" width="9.140625" style="75"/>
    <col min="7" max="7" width="18.5703125" style="75" bestFit="1" customWidth="1"/>
    <col min="8" max="8" width="21" style="208" bestFit="1" customWidth="1"/>
    <col min="9" max="9" width="9.140625" style="75"/>
    <col min="18" max="18" width="18.5703125" style="75" bestFit="1" customWidth="1"/>
    <col min="19" max="19" width="21" style="208" bestFit="1" customWidth="1"/>
    <col min="20" max="20" width="9.140625" style="75"/>
    <col min="31" max="31" width="13.140625" style="75" customWidth="1"/>
    <col min="32" max="32" width="13.140625" customWidth="1"/>
    <col min="33" max="33" width="11" bestFit="1" customWidth="1"/>
    <col min="34" max="34" width="26" bestFit="1" customWidth="1"/>
    <col min="35" max="35" width="13.140625" customWidth="1"/>
    <col min="36" max="36" width="9.140625" style="75"/>
    <col min="40" max="40" width="9.140625" style="102"/>
  </cols>
  <sheetData>
    <row r="3" spans="2:39" x14ac:dyDescent="0.25">
      <c r="B3" s="251" t="s">
        <v>140</v>
      </c>
      <c r="C3" s="251"/>
      <c r="D3" s="251"/>
      <c r="K3" s="206" t="s">
        <v>141</v>
      </c>
      <c r="L3" s="206"/>
      <c r="M3" s="206"/>
      <c r="N3" s="206"/>
      <c r="O3" s="206"/>
      <c r="P3" s="206"/>
      <c r="Q3" s="206"/>
      <c r="V3" s="206" t="s">
        <v>141</v>
      </c>
      <c r="W3" s="206"/>
      <c r="X3" s="206"/>
      <c r="Y3" s="206"/>
      <c r="Z3" s="206"/>
      <c r="AA3" s="206"/>
      <c r="AB3" s="206"/>
      <c r="AC3" s="206"/>
      <c r="AD3" s="206"/>
      <c r="AG3" s="251" t="s">
        <v>142</v>
      </c>
      <c r="AH3" s="251"/>
      <c r="AL3" s="251"/>
      <c r="AM3" s="251"/>
    </row>
    <row r="4" spans="2:39" x14ac:dyDescent="0.25">
      <c r="K4" s="12" t="s">
        <v>56</v>
      </c>
      <c r="L4" s="13"/>
      <c r="M4" s="12"/>
      <c r="N4" s="13"/>
      <c r="O4" s="14" t="s">
        <v>348</v>
      </c>
      <c r="P4" s="11"/>
      <c r="V4" s="12" t="s">
        <v>56</v>
      </c>
      <c r="W4" s="13"/>
      <c r="X4" s="12"/>
      <c r="Y4" s="13"/>
      <c r="Z4" s="14" t="s">
        <v>348</v>
      </c>
      <c r="AA4" s="11"/>
    </row>
    <row r="5" spans="2:39" x14ac:dyDescent="0.25">
      <c r="B5" s="252" t="s">
        <v>38</v>
      </c>
      <c r="C5" s="253" t="s">
        <v>39</v>
      </c>
      <c r="D5" s="254" t="s">
        <v>52</v>
      </c>
      <c r="G5" s="75" t="s">
        <v>359</v>
      </c>
      <c r="H5" s="208" t="s">
        <v>362</v>
      </c>
      <c r="I5" s="75" t="s">
        <v>360</v>
      </c>
      <c r="K5" s="15" t="s">
        <v>57</v>
      </c>
      <c r="L5" s="16" t="s">
        <v>58</v>
      </c>
      <c r="M5" s="17" t="s">
        <v>59</v>
      </c>
      <c r="N5" s="16"/>
      <c r="O5" s="17" t="s">
        <v>60</v>
      </c>
      <c r="P5" s="17" t="s">
        <v>61</v>
      </c>
      <c r="R5" s="75" t="s">
        <v>359</v>
      </c>
      <c r="S5" s="208" t="s">
        <v>362</v>
      </c>
      <c r="T5" s="75" t="s">
        <v>360</v>
      </c>
      <c r="V5" s="15" t="s">
        <v>57</v>
      </c>
      <c r="W5" s="16" t="s">
        <v>58</v>
      </c>
      <c r="X5" s="17" t="s">
        <v>59</v>
      </c>
      <c r="Y5" s="16"/>
      <c r="Z5" s="17" t="s">
        <v>60</v>
      </c>
      <c r="AA5" s="17" t="s">
        <v>61</v>
      </c>
      <c r="AG5" s="62" t="s">
        <v>54</v>
      </c>
      <c r="AH5" s="61" t="s">
        <v>55</v>
      </c>
    </row>
    <row r="6" spans="2:39" x14ac:dyDescent="0.25">
      <c r="B6" s="252"/>
      <c r="C6" s="253"/>
      <c r="D6" s="254"/>
      <c r="G6" s="75" t="str">
        <f>I6&amp;"&amp;"&amp;K6</f>
        <v>1.0 - 1.2&amp;UNDER 04</v>
      </c>
      <c r="H6" s="208" t="str">
        <f>I6&amp;"&amp;"&amp;J6</f>
        <v>1.0 - 1.2&amp;0</v>
      </c>
      <c r="I6" s="75" t="s">
        <v>348</v>
      </c>
      <c r="J6" s="75">
        <f>'SETTING PRODUKSI Januari'!AK13</f>
        <v>0</v>
      </c>
      <c r="K6" s="18" t="s">
        <v>63</v>
      </c>
      <c r="L6" s="19">
        <v>0</v>
      </c>
      <c r="M6" s="20">
        <v>0</v>
      </c>
      <c r="N6" s="21"/>
      <c r="O6" s="20">
        <v>0</v>
      </c>
      <c r="P6" s="22">
        <v>0</v>
      </c>
      <c r="R6" s="75" t="str">
        <f>T6&amp;"&amp;"&amp;V6</f>
        <v>1.0 - 1.2&amp;UNDER 04</v>
      </c>
      <c r="S6" s="208" t="str">
        <f>T6&amp;"&amp;"&amp;U6</f>
        <v>1.0 - 1.2&amp;0</v>
      </c>
      <c r="T6" s="75" t="s">
        <v>348</v>
      </c>
      <c r="U6" s="75">
        <f>'SETTING PRODUKSI Januari'!AK41</f>
        <v>0</v>
      </c>
      <c r="V6" s="18" t="s">
        <v>63</v>
      </c>
      <c r="W6" s="19">
        <v>0</v>
      </c>
      <c r="X6" s="20">
        <v>0</v>
      </c>
      <c r="Y6" s="21"/>
      <c r="Z6" s="20">
        <v>0</v>
      </c>
      <c r="AA6" s="22">
        <v>0</v>
      </c>
      <c r="AG6" s="63" t="s">
        <v>348</v>
      </c>
      <c r="AH6" s="64">
        <v>2560</v>
      </c>
    </row>
    <row r="7" spans="2:39" x14ac:dyDescent="0.25">
      <c r="B7" s="37" t="s">
        <v>2</v>
      </c>
      <c r="C7" s="38" t="s">
        <v>3</v>
      </c>
      <c r="D7" s="99">
        <v>1</v>
      </c>
      <c r="G7" s="75" t="str">
        <f t="shared" ref="G7:G70" si="0">I7&amp;"&amp;"&amp;K7</f>
        <v>1.0 - 1.2&amp;04 – 05</v>
      </c>
      <c r="H7" s="208" t="str">
        <f t="shared" ref="H7:H70" si="1">I7&amp;"&amp;"&amp;J7</f>
        <v>1.0 - 1.2&amp;0</v>
      </c>
      <c r="I7" s="75" t="s">
        <v>348</v>
      </c>
      <c r="J7" s="75">
        <f>'SETTING PRODUKSI Januari'!AK14</f>
        <v>0</v>
      </c>
      <c r="K7" s="24" t="s">
        <v>65</v>
      </c>
      <c r="L7" s="19">
        <v>0.02</v>
      </c>
      <c r="M7" s="20">
        <v>0.02</v>
      </c>
      <c r="N7" s="21"/>
      <c r="O7" s="20">
        <v>0</v>
      </c>
      <c r="P7" s="22">
        <v>0</v>
      </c>
      <c r="R7" s="75" t="str">
        <f t="shared" ref="R7:R70" si="2">T7&amp;"&amp;"&amp;V7</f>
        <v>1.0 - 1.2&amp;04 – 05</v>
      </c>
      <c r="S7" s="208" t="str">
        <f t="shared" ref="S7:S70" si="3">T7&amp;"&amp;"&amp;U7</f>
        <v>1.0 - 1.2&amp;0</v>
      </c>
      <c r="T7" s="75" t="s">
        <v>348</v>
      </c>
      <c r="U7" s="75">
        <f>'SETTING PRODUKSI Januari'!AK42</f>
        <v>0</v>
      </c>
      <c r="V7" s="24" t="s">
        <v>65</v>
      </c>
      <c r="W7" s="19">
        <v>0</v>
      </c>
      <c r="X7" s="20">
        <v>0.02</v>
      </c>
      <c r="Y7" s="21"/>
      <c r="Z7" s="20">
        <v>0</v>
      </c>
      <c r="AA7" s="22">
        <v>0</v>
      </c>
      <c r="AG7" s="63" t="s">
        <v>62</v>
      </c>
      <c r="AH7" s="64">
        <f>3000/1.3</f>
        <v>2307.6923076923076</v>
      </c>
    </row>
    <row r="8" spans="2:39" x14ac:dyDescent="0.25">
      <c r="B8" s="38" t="s">
        <v>24</v>
      </c>
      <c r="C8" s="38" t="s">
        <v>25</v>
      </c>
      <c r="D8" s="99">
        <v>1.1000000000000001</v>
      </c>
      <c r="G8" s="75" t="str">
        <f t="shared" si="0"/>
        <v>1.0 - 1.2&amp;05 – 06</v>
      </c>
      <c r="H8" s="208" t="str">
        <f t="shared" si="1"/>
        <v>1.0 - 1.2&amp;0</v>
      </c>
      <c r="I8" s="75" t="s">
        <v>348</v>
      </c>
      <c r="J8" s="75">
        <f>'SETTING PRODUKSI Januari'!AK15</f>
        <v>0</v>
      </c>
      <c r="K8" s="18" t="s">
        <v>67</v>
      </c>
      <c r="L8" s="19">
        <v>0</v>
      </c>
      <c r="M8" s="20">
        <v>0.06</v>
      </c>
      <c r="N8" s="21"/>
      <c r="O8" s="20">
        <v>0</v>
      </c>
      <c r="P8" s="22">
        <v>0</v>
      </c>
      <c r="R8" s="75" t="str">
        <f t="shared" si="2"/>
        <v>1.0 - 1.2&amp;05 – 06</v>
      </c>
      <c r="S8" s="208" t="str">
        <f t="shared" si="3"/>
        <v>1.0 - 1.2&amp;0</v>
      </c>
      <c r="T8" s="75" t="s">
        <v>348</v>
      </c>
      <c r="U8" s="75">
        <f>'SETTING PRODUKSI Januari'!AK43</f>
        <v>0</v>
      </c>
      <c r="V8" s="18" t="s">
        <v>67</v>
      </c>
      <c r="W8" s="19">
        <v>0</v>
      </c>
      <c r="X8" s="20">
        <v>0.06</v>
      </c>
      <c r="Y8" s="21"/>
      <c r="Z8" s="20">
        <v>0</v>
      </c>
      <c r="AA8" s="22">
        <v>0</v>
      </c>
      <c r="AG8" s="63" t="s">
        <v>64</v>
      </c>
      <c r="AH8" s="64">
        <f>3000/1.4</f>
        <v>2142.8571428571431</v>
      </c>
    </row>
    <row r="9" spans="2:39" x14ac:dyDescent="0.25">
      <c r="B9" s="38" t="s">
        <v>160</v>
      </c>
      <c r="C9" s="38" t="s">
        <v>161</v>
      </c>
      <c r="D9" s="99">
        <v>0.9</v>
      </c>
      <c r="G9" s="75" t="str">
        <f t="shared" si="0"/>
        <v>1.0 - 1.2&amp;06 – 07</v>
      </c>
      <c r="H9" s="208" t="str">
        <f t="shared" si="1"/>
        <v>1.0 - 1.2&amp;0</v>
      </c>
      <c r="I9" s="75" t="s">
        <v>348</v>
      </c>
      <c r="J9" s="75">
        <f>'SETTING PRODUKSI Januari'!AK16</f>
        <v>0</v>
      </c>
      <c r="K9" s="24" t="s">
        <v>68</v>
      </c>
      <c r="L9" s="19">
        <v>100</v>
      </c>
      <c r="M9" s="20">
        <v>0.26</v>
      </c>
      <c r="N9" s="21"/>
      <c r="O9" s="20">
        <v>0</v>
      </c>
      <c r="P9" s="22">
        <v>0.1111111111111111</v>
      </c>
      <c r="R9" s="75" t="str">
        <f t="shared" si="2"/>
        <v>1.0 - 1.2&amp;06 – 07</v>
      </c>
      <c r="S9" s="208" t="str">
        <f t="shared" si="3"/>
        <v>1.0 - 1.2&amp;0</v>
      </c>
      <c r="T9" s="75" t="s">
        <v>348</v>
      </c>
      <c r="U9" s="75">
        <f>'SETTING PRODUKSI Januari'!AK44</f>
        <v>0</v>
      </c>
      <c r="V9" s="24" t="s">
        <v>68</v>
      </c>
      <c r="W9" s="19">
        <v>100</v>
      </c>
      <c r="X9" s="20">
        <v>0.26</v>
      </c>
      <c r="Y9" s="21"/>
      <c r="Z9" s="20">
        <v>0</v>
      </c>
      <c r="AA9" s="22">
        <v>0.1111111111111111</v>
      </c>
      <c r="AG9" s="63" t="s">
        <v>66</v>
      </c>
      <c r="AH9" s="64">
        <v>1920</v>
      </c>
    </row>
    <row r="10" spans="2:39" x14ac:dyDescent="0.25">
      <c r="B10" s="38" t="s">
        <v>162</v>
      </c>
      <c r="C10" s="38" t="s">
        <v>163</v>
      </c>
      <c r="D10" s="99">
        <v>1.1000000000000001</v>
      </c>
      <c r="G10" s="75" t="str">
        <f t="shared" si="0"/>
        <v>1.0 - 1.2&amp;07 – 08</v>
      </c>
      <c r="H10" s="208" t="str">
        <f t="shared" si="1"/>
        <v>1.0 - 1.2&amp;0</v>
      </c>
      <c r="I10" s="75" t="s">
        <v>348</v>
      </c>
      <c r="J10" s="75">
        <f>'SETTING PRODUKSI Januari'!AK17</f>
        <v>0</v>
      </c>
      <c r="K10" s="18" t="s">
        <v>70</v>
      </c>
      <c r="L10" s="19">
        <v>149</v>
      </c>
      <c r="M10" s="20">
        <v>0.34</v>
      </c>
      <c r="N10" s="21"/>
      <c r="O10" s="20">
        <v>0</v>
      </c>
      <c r="P10" s="22">
        <v>0.16555555555555557</v>
      </c>
      <c r="R10" s="75" t="str">
        <f t="shared" si="2"/>
        <v>1.0 - 1.2&amp;07 – 08</v>
      </c>
      <c r="S10" s="208" t="str">
        <f t="shared" si="3"/>
        <v>1.0 - 1.2&amp;1</v>
      </c>
      <c r="T10" s="75" t="s">
        <v>348</v>
      </c>
      <c r="U10" s="75">
        <f>'SETTING PRODUKSI Januari'!AK45</f>
        <v>1</v>
      </c>
      <c r="V10" s="18" t="s">
        <v>70</v>
      </c>
      <c r="W10" s="19">
        <v>149</v>
      </c>
      <c r="X10" s="20">
        <v>0.34</v>
      </c>
      <c r="Y10" s="21"/>
      <c r="Z10" s="20">
        <v>0</v>
      </c>
      <c r="AA10" s="22">
        <v>0.16555555555555557</v>
      </c>
      <c r="AG10" s="63" t="s">
        <v>352</v>
      </c>
      <c r="AH10" s="64">
        <v>1920</v>
      </c>
    </row>
    <row r="11" spans="2:39" x14ac:dyDescent="0.25">
      <c r="B11" s="38" t="s">
        <v>202</v>
      </c>
      <c r="C11" s="38" t="s">
        <v>203</v>
      </c>
      <c r="D11" s="99">
        <v>1.2</v>
      </c>
      <c r="G11" s="75" t="str">
        <f t="shared" si="0"/>
        <v>1.0 - 1.2&amp;08 – 09</v>
      </c>
      <c r="H11" s="208" t="str">
        <f t="shared" si="1"/>
        <v>1.0 - 1.2&amp;0</v>
      </c>
      <c r="I11" s="75" t="s">
        <v>348</v>
      </c>
      <c r="J11" s="75">
        <f>'SETTING PRODUKSI Januari'!AK18</f>
        <v>0</v>
      </c>
      <c r="K11" s="24" t="s">
        <v>72</v>
      </c>
      <c r="L11" s="19">
        <v>374</v>
      </c>
      <c r="M11" s="20">
        <v>0.2</v>
      </c>
      <c r="N11" s="21"/>
      <c r="O11" s="20">
        <v>0</v>
      </c>
      <c r="P11" s="22">
        <v>0.41555555555555557</v>
      </c>
      <c r="R11" s="75" t="str">
        <f t="shared" si="2"/>
        <v>1.0 - 1.2&amp;08 – 09</v>
      </c>
      <c r="S11" s="208" t="str">
        <f t="shared" si="3"/>
        <v>1.0 - 1.2&amp;0</v>
      </c>
      <c r="T11" s="75" t="s">
        <v>348</v>
      </c>
      <c r="U11" s="75">
        <f>'SETTING PRODUKSI Januari'!AK46</f>
        <v>0</v>
      </c>
      <c r="V11" s="24" t="s">
        <v>72</v>
      </c>
      <c r="W11" s="19">
        <v>374</v>
      </c>
      <c r="X11" s="20">
        <v>0.2</v>
      </c>
      <c r="Y11" s="21"/>
      <c r="Z11" s="20">
        <v>0</v>
      </c>
      <c r="AA11" s="22">
        <v>0.41555555555555557</v>
      </c>
      <c r="AG11" s="63" t="s">
        <v>69</v>
      </c>
      <c r="AH11" s="64">
        <f>3000/1.7</f>
        <v>1764.7058823529412</v>
      </c>
    </row>
    <row r="12" spans="2:39" x14ac:dyDescent="0.25">
      <c r="B12" s="38" t="s">
        <v>30</v>
      </c>
      <c r="C12" s="38" t="s">
        <v>31</v>
      </c>
      <c r="D12" s="99">
        <v>1.1000000000000001</v>
      </c>
      <c r="G12" s="75" t="str">
        <f t="shared" si="0"/>
        <v>1.0 - 1.2&amp;09 – 10</v>
      </c>
      <c r="H12" s="208" t="str">
        <f t="shared" si="1"/>
        <v>1.0 - 1.2&amp;0</v>
      </c>
      <c r="I12" s="75" t="s">
        <v>348</v>
      </c>
      <c r="J12" s="75">
        <f>'SETTING PRODUKSI Januari'!AK19</f>
        <v>0</v>
      </c>
      <c r="K12" s="18" t="s">
        <v>73</v>
      </c>
      <c r="L12" s="19">
        <v>194</v>
      </c>
      <c r="M12" s="20">
        <v>7.0000000000000007E-2</v>
      </c>
      <c r="N12" s="21"/>
      <c r="O12" s="20">
        <v>0</v>
      </c>
      <c r="P12" s="22">
        <v>0.21555555555555556</v>
      </c>
      <c r="R12" s="75" t="str">
        <f t="shared" si="2"/>
        <v>1.0 - 1.2&amp;09 – 10</v>
      </c>
      <c r="S12" s="208" t="str">
        <f t="shared" si="3"/>
        <v>1.0 - 1.2&amp;0</v>
      </c>
      <c r="T12" s="75" t="s">
        <v>348</v>
      </c>
      <c r="U12" s="75">
        <f>'SETTING PRODUKSI Januari'!AK47</f>
        <v>0</v>
      </c>
      <c r="V12" s="18" t="s">
        <v>73</v>
      </c>
      <c r="W12" s="19">
        <v>194</v>
      </c>
      <c r="X12" s="20">
        <v>7.0000000000000007E-2</v>
      </c>
      <c r="Y12" s="21"/>
      <c r="Z12" s="20">
        <v>0</v>
      </c>
      <c r="AA12" s="22">
        <v>0.21555555555555556</v>
      </c>
      <c r="AG12" s="63" t="s">
        <v>71</v>
      </c>
      <c r="AH12" s="64">
        <f>3000/1.9</f>
        <v>1578.9473684210527</v>
      </c>
    </row>
    <row r="13" spans="2:39" x14ac:dyDescent="0.25">
      <c r="B13" s="38" t="s">
        <v>164</v>
      </c>
      <c r="C13" s="38" t="s">
        <v>165</v>
      </c>
      <c r="D13" s="99">
        <v>1.1000000000000001</v>
      </c>
      <c r="G13" s="75" t="str">
        <f t="shared" si="0"/>
        <v>1.0 - 1.2&amp;10 – 11</v>
      </c>
      <c r="H13" s="208" t="str">
        <f t="shared" si="1"/>
        <v>1.0 - 1.2&amp;0</v>
      </c>
      <c r="I13" s="75" t="s">
        <v>348</v>
      </c>
      <c r="J13" s="75">
        <f>'SETTING PRODUKSI Januari'!AK20</f>
        <v>0</v>
      </c>
      <c r="K13" s="25" t="s">
        <v>74</v>
      </c>
      <c r="L13" s="19">
        <v>82</v>
      </c>
      <c r="M13" s="20">
        <v>0</v>
      </c>
      <c r="N13" s="21"/>
      <c r="O13" s="20">
        <v>0</v>
      </c>
      <c r="P13" s="22">
        <v>9.1111111111111115E-2</v>
      </c>
      <c r="R13" s="75" t="str">
        <f t="shared" si="2"/>
        <v>1.0 - 1.2&amp;10 – 11</v>
      </c>
      <c r="S13" s="208" t="str">
        <f t="shared" si="3"/>
        <v>1.0 - 1.2&amp;0</v>
      </c>
      <c r="T13" s="75" t="s">
        <v>348</v>
      </c>
      <c r="U13" s="75">
        <f>'SETTING PRODUKSI Januari'!AK48</f>
        <v>0</v>
      </c>
      <c r="V13" s="25" t="s">
        <v>74</v>
      </c>
      <c r="W13" s="19">
        <v>82</v>
      </c>
      <c r="X13" s="20">
        <v>0</v>
      </c>
      <c r="Y13" s="21"/>
      <c r="Z13" s="20">
        <v>0</v>
      </c>
      <c r="AA13" s="22">
        <v>9.1111111111111115E-2</v>
      </c>
      <c r="AG13" s="63" t="s">
        <v>357</v>
      </c>
      <c r="AH13" s="64">
        <f>3000/2.2</f>
        <v>1363.6363636363635</v>
      </c>
    </row>
    <row r="14" spans="2:39" x14ac:dyDescent="0.25">
      <c r="B14" s="38" t="s">
        <v>204</v>
      </c>
      <c r="C14" s="38" t="s">
        <v>205</v>
      </c>
      <c r="D14" s="99">
        <v>1.4</v>
      </c>
      <c r="G14" s="75" t="str">
        <f t="shared" si="0"/>
        <v>1.0 - 1.2&amp;11 – 12</v>
      </c>
      <c r="H14" s="208" t="str">
        <f t="shared" si="1"/>
        <v>1.0 - 1.2&amp;0</v>
      </c>
      <c r="I14" s="75" t="s">
        <v>348</v>
      </c>
      <c r="J14" s="75">
        <f>'SETTING PRODUKSI Januari'!AK21</f>
        <v>0</v>
      </c>
      <c r="K14" s="26" t="s">
        <v>75</v>
      </c>
      <c r="L14" s="19">
        <v>1</v>
      </c>
      <c r="M14" s="20">
        <v>0.05</v>
      </c>
      <c r="N14" s="21"/>
      <c r="O14" s="20">
        <v>0</v>
      </c>
      <c r="P14" s="22">
        <v>1.1111111111111111E-3</v>
      </c>
      <c r="R14" s="75" t="str">
        <f t="shared" si="2"/>
        <v>1.0 - 1.2&amp;11 – 12</v>
      </c>
      <c r="S14" s="208" t="str">
        <f t="shared" si="3"/>
        <v>1.0 - 1.2&amp;0</v>
      </c>
      <c r="T14" s="75" t="s">
        <v>348</v>
      </c>
      <c r="U14" s="75">
        <f>'SETTING PRODUKSI Januari'!AK49</f>
        <v>0</v>
      </c>
      <c r="V14" s="26" t="s">
        <v>75</v>
      </c>
      <c r="W14" s="19">
        <v>1</v>
      </c>
      <c r="X14" s="20">
        <v>0.05</v>
      </c>
      <c r="Y14" s="21"/>
      <c r="Z14" s="20">
        <v>0</v>
      </c>
      <c r="AA14" s="22">
        <v>1.1111111111111111E-3</v>
      </c>
      <c r="AG14" s="63" t="s">
        <v>363</v>
      </c>
      <c r="AH14" s="64">
        <f>3000/2.4</f>
        <v>1250</v>
      </c>
    </row>
    <row r="15" spans="2:39" x14ac:dyDescent="0.25">
      <c r="B15" s="38" t="s">
        <v>16</v>
      </c>
      <c r="C15" s="38" t="s">
        <v>17</v>
      </c>
      <c r="D15" s="99">
        <v>1</v>
      </c>
      <c r="G15" s="75" t="str">
        <f t="shared" si="0"/>
        <v>1.0 - 1.2&amp;12 – 13</v>
      </c>
      <c r="H15" s="208" t="str">
        <f t="shared" si="1"/>
        <v>1.0 - 1.2&amp;0</v>
      </c>
      <c r="I15" s="75" t="s">
        <v>348</v>
      </c>
      <c r="J15" s="75">
        <f>'SETTING PRODUKSI Januari'!AK22</f>
        <v>0</v>
      </c>
      <c r="K15" s="25" t="s">
        <v>76</v>
      </c>
      <c r="L15" s="19">
        <v>0</v>
      </c>
      <c r="M15" s="20">
        <v>0</v>
      </c>
      <c r="N15" s="21"/>
      <c r="O15" s="20">
        <v>0</v>
      </c>
      <c r="P15" s="22">
        <v>0</v>
      </c>
      <c r="R15" s="75" t="str">
        <f t="shared" si="2"/>
        <v>1.0 - 1.2&amp;12 – 13</v>
      </c>
      <c r="S15" s="208" t="str">
        <f t="shared" si="3"/>
        <v>1.0 - 1.2&amp;0</v>
      </c>
      <c r="T15" s="75" t="s">
        <v>348</v>
      </c>
      <c r="U15" s="75">
        <f>'SETTING PRODUKSI Januari'!AK50</f>
        <v>0</v>
      </c>
      <c r="V15" s="25" t="s">
        <v>76</v>
      </c>
      <c r="W15" s="19">
        <v>0</v>
      </c>
      <c r="X15" s="20">
        <v>0</v>
      </c>
      <c r="Y15" s="21"/>
      <c r="Z15" s="20">
        <v>0</v>
      </c>
      <c r="AA15" s="22">
        <v>0</v>
      </c>
    </row>
    <row r="16" spans="2:39" x14ac:dyDescent="0.25">
      <c r="B16" s="38" t="s">
        <v>206</v>
      </c>
      <c r="C16" s="38" t="s">
        <v>207</v>
      </c>
      <c r="D16" s="99">
        <v>1</v>
      </c>
      <c r="G16" s="75" t="str">
        <f t="shared" si="0"/>
        <v>1.0 - 1.2&amp;13 – 14</v>
      </c>
      <c r="H16" s="208" t="str">
        <f t="shared" si="1"/>
        <v>1.0 - 1.2&amp;0</v>
      </c>
      <c r="I16" s="75" t="s">
        <v>348</v>
      </c>
      <c r="J16" s="75">
        <f>'SETTING PRODUKSI Januari'!AK23</f>
        <v>0</v>
      </c>
      <c r="K16" s="18" t="s">
        <v>77</v>
      </c>
      <c r="L16" s="19">
        <v>0</v>
      </c>
      <c r="M16" s="20">
        <v>0</v>
      </c>
      <c r="N16" s="21"/>
      <c r="O16" s="20">
        <v>0</v>
      </c>
      <c r="P16" s="22">
        <v>0</v>
      </c>
      <c r="R16" s="75" t="str">
        <f t="shared" si="2"/>
        <v>1.0 - 1.2&amp;13 – 14</v>
      </c>
      <c r="S16" s="208" t="str">
        <f t="shared" si="3"/>
        <v>1.0 - 1.2&amp;0</v>
      </c>
      <c r="T16" s="75" t="s">
        <v>348</v>
      </c>
      <c r="U16" s="75">
        <f>'SETTING PRODUKSI Januari'!AK51</f>
        <v>0</v>
      </c>
      <c r="V16" s="18" t="s">
        <v>77</v>
      </c>
      <c r="W16" s="19">
        <v>0</v>
      </c>
      <c r="X16" s="20">
        <v>0</v>
      </c>
      <c r="Y16" s="21"/>
      <c r="Z16" s="20">
        <v>0</v>
      </c>
      <c r="AA16" s="22">
        <v>0</v>
      </c>
    </row>
    <row r="17" spans="2:27" x14ac:dyDescent="0.25">
      <c r="B17" s="38" t="s">
        <v>0</v>
      </c>
      <c r="C17" s="38" t="s">
        <v>1</v>
      </c>
      <c r="D17" s="99">
        <v>1.1000000000000001</v>
      </c>
      <c r="G17" s="75" t="str">
        <f t="shared" si="0"/>
        <v>1.0 - 1.2&amp;14 – 15</v>
      </c>
      <c r="H17" s="208" t="str">
        <f t="shared" si="1"/>
        <v>1.0 - 1.2&amp;0</v>
      </c>
      <c r="I17" s="75" t="s">
        <v>348</v>
      </c>
      <c r="J17" s="75">
        <f>'SETTING PRODUKSI Januari'!AK24</f>
        <v>0</v>
      </c>
      <c r="K17" s="24" t="s">
        <v>78</v>
      </c>
      <c r="L17" s="19">
        <v>0</v>
      </c>
      <c r="M17" s="20">
        <v>0</v>
      </c>
      <c r="N17" s="21"/>
      <c r="O17" s="20">
        <v>0</v>
      </c>
      <c r="P17" s="22">
        <v>0</v>
      </c>
      <c r="R17" s="75" t="str">
        <f t="shared" si="2"/>
        <v>1.0 - 1.2&amp;14 – 15</v>
      </c>
      <c r="S17" s="208" t="str">
        <f t="shared" si="3"/>
        <v>1.0 - 1.2&amp;0</v>
      </c>
      <c r="T17" s="75" t="s">
        <v>348</v>
      </c>
      <c r="U17" s="75">
        <f>'SETTING PRODUKSI Januari'!AK52</f>
        <v>0</v>
      </c>
      <c r="V17" s="24" t="s">
        <v>78</v>
      </c>
      <c r="W17" s="19">
        <v>0</v>
      </c>
      <c r="X17" s="20">
        <v>0</v>
      </c>
      <c r="Y17" s="21"/>
      <c r="Z17" s="20">
        <v>0</v>
      </c>
      <c r="AA17" s="22">
        <v>0</v>
      </c>
    </row>
    <row r="18" spans="2:27" x14ac:dyDescent="0.25">
      <c r="B18" s="38" t="s">
        <v>208</v>
      </c>
      <c r="C18" s="38" t="s">
        <v>209</v>
      </c>
      <c r="D18" s="99">
        <v>0.7</v>
      </c>
      <c r="G18" s="75" t="str">
        <f t="shared" si="0"/>
        <v>1.0 - 1.2&amp;15 – 16</v>
      </c>
      <c r="H18" s="208" t="str">
        <f t="shared" si="1"/>
        <v>1.0 - 1.2&amp;0</v>
      </c>
      <c r="I18" s="75" t="s">
        <v>348</v>
      </c>
      <c r="J18" s="75">
        <f>'SETTING PRODUKSI Januari'!AK25</f>
        <v>0</v>
      </c>
      <c r="K18" s="18" t="s">
        <v>79</v>
      </c>
      <c r="L18" s="19">
        <v>0</v>
      </c>
      <c r="M18" s="20">
        <v>0</v>
      </c>
      <c r="N18" s="21"/>
      <c r="O18" s="20">
        <v>0</v>
      </c>
      <c r="P18" s="22">
        <v>0</v>
      </c>
      <c r="R18" s="75" t="str">
        <f t="shared" si="2"/>
        <v>1.0 - 1.2&amp;15 – 16</v>
      </c>
      <c r="S18" s="208" t="str">
        <f t="shared" si="3"/>
        <v>1.0 - 1.2&amp;0</v>
      </c>
      <c r="T18" s="75" t="s">
        <v>348</v>
      </c>
      <c r="U18" s="75">
        <f>'SETTING PRODUKSI Januari'!AK53</f>
        <v>0</v>
      </c>
      <c r="V18" s="18" t="s">
        <v>79</v>
      </c>
      <c r="W18" s="19">
        <v>0</v>
      </c>
      <c r="X18" s="20">
        <v>0</v>
      </c>
      <c r="Y18" s="21"/>
      <c r="Z18" s="20">
        <v>0</v>
      </c>
      <c r="AA18" s="22">
        <v>0</v>
      </c>
    </row>
    <row r="19" spans="2:27" x14ac:dyDescent="0.25">
      <c r="B19" s="38" t="s">
        <v>166</v>
      </c>
      <c r="C19" s="38" t="s">
        <v>167</v>
      </c>
      <c r="D19" s="99">
        <v>0.8</v>
      </c>
      <c r="G19" s="75" t="str">
        <f t="shared" si="0"/>
        <v>1.0 - 1.2&amp;16 - 17</v>
      </c>
      <c r="H19" s="208" t="str">
        <f t="shared" si="1"/>
        <v>1.0 - 1.2&amp;0</v>
      </c>
      <c r="I19" s="75" t="s">
        <v>348</v>
      </c>
      <c r="J19" s="75">
        <f>'SETTING PRODUKSI Januari'!AK26</f>
        <v>0</v>
      </c>
      <c r="K19" s="24" t="s">
        <v>339</v>
      </c>
      <c r="L19" s="19">
        <v>0</v>
      </c>
      <c r="M19" s="20">
        <v>0</v>
      </c>
      <c r="N19" s="21"/>
      <c r="O19" s="20">
        <v>0</v>
      </c>
      <c r="P19" s="22">
        <v>0</v>
      </c>
      <c r="R19" s="75" t="str">
        <f t="shared" si="2"/>
        <v>1.0 - 1.2&amp;16 - 17</v>
      </c>
      <c r="S19" s="208" t="str">
        <f t="shared" si="3"/>
        <v>1.0 - 1.2&amp;0</v>
      </c>
      <c r="T19" s="75" t="s">
        <v>348</v>
      </c>
      <c r="U19" s="75">
        <f>'SETTING PRODUKSI Januari'!AK54</f>
        <v>0</v>
      </c>
      <c r="V19" s="24" t="s">
        <v>339</v>
      </c>
      <c r="W19" s="19">
        <v>0</v>
      </c>
      <c r="X19" s="20">
        <v>0</v>
      </c>
      <c r="Y19" s="21"/>
      <c r="Z19" s="20">
        <v>0</v>
      </c>
      <c r="AA19" s="22">
        <v>0</v>
      </c>
    </row>
    <row r="20" spans="2:27" x14ac:dyDescent="0.25">
      <c r="B20" s="38" t="s">
        <v>168</v>
      </c>
      <c r="C20" s="38" t="s">
        <v>169</v>
      </c>
      <c r="D20" s="99">
        <v>1.1000000000000001</v>
      </c>
      <c r="G20" s="75" t="str">
        <f t="shared" si="0"/>
        <v>&amp;Total</v>
      </c>
      <c r="H20" s="208" t="str">
        <f t="shared" si="1"/>
        <v>&amp;</v>
      </c>
      <c r="K20" s="28" t="s">
        <v>80</v>
      </c>
      <c r="L20" s="29">
        <f>SUM(L6:L19)</f>
        <v>900.02</v>
      </c>
      <c r="M20" s="33">
        <f>SUM(M6:M19)</f>
        <v>1.0000000000000002</v>
      </c>
      <c r="N20" s="29">
        <v>0</v>
      </c>
      <c r="O20" s="30">
        <v>0</v>
      </c>
      <c r="P20" s="30">
        <v>1</v>
      </c>
      <c r="R20" s="75" t="str">
        <f t="shared" si="2"/>
        <v>&amp;Total</v>
      </c>
      <c r="S20" s="208" t="str">
        <f t="shared" si="3"/>
        <v>&amp;</v>
      </c>
      <c r="V20" s="28" t="s">
        <v>80</v>
      </c>
      <c r="W20" s="29">
        <f>SUM(W6:W19)</f>
        <v>900</v>
      </c>
      <c r="X20" s="33">
        <f>SUM(X6:X19)</f>
        <v>1.0000000000000002</v>
      </c>
      <c r="Y20" s="29">
        <v>0</v>
      </c>
      <c r="Z20" s="30">
        <v>0</v>
      </c>
      <c r="AA20" s="30">
        <v>1</v>
      </c>
    </row>
    <row r="21" spans="2:27" x14ac:dyDescent="0.25">
      <c r="B21" s="38" t="s">
        <v>4</v>
      </c>
      <c r="C21" s="38" t="s">
        <v>5</v>
      </c>
      <c r="D21" s="99">
        <v>0.9</v>
      </c>
      <c r="G21" s="75" t="str">
        <f t="shared" si="0"/>
        <v>&amp;</v>
      </c>
      <c r="H21" s="208" t="str">
        <f t="shared" si="1"/>
        <v>&amp;</v>
      </c>
      <c r="R21" s="75" t="str">
        <f t="shared" si="2"/>
        <v>&amp;</v>
      </c>
      <c r="S21" s="208" t="str">
        <f t="shared" si="3"/>
        <v>&amp;</v>
      </c>
    </row>
    <row r="22" spans="2:27" x14ac:dyDescent="0.25">
      <c r="B22" s="38" t="s">
        <v>210</v>
      </c>
      <c r="C22" s="38" t="s">
        <v>211</v>
      </c>
      <c r="D22" s="99">
        <v>1</v>
      </c>
      <c r="G22" s="75" t="str">
        <f t="shared" si="0"/>
        <v>&amp;</v>
      </c>
      <c r="H22" s="208" t="str">
        <f t="shared" si="1"/>
        <v>&amp;</v>
      </c>
      <c r="R22" s="75" t="str">
        <f t="shared" si="2"/>
        <v>&amp;</v>
      </c>
      <c r="S22" s="208" t="str">
        <f t="shared" si="3"/>
        <v>&amp;</v>
      </c>
    </row>
    <row r="23" spans="2:27" x14ac:dyDescent="0.25">
      <c r="B23" s="38" t="s">
        <v>170</v>
      </c>
      <c r="C23" s="38" t="s">
        <v>171</v>
      </c>
      <c r="D23" s="99">
        <v>1.2</v>
      </c>
      <c r="G23" s="75" t="str">
        <f t="shared" si="0"/>
        <v xml:space="preserve">&amp;BW LB </v>
      </c>
      <c r="H23" s="208" t="str">
        <f t="shared" si="1"/>
        <v>&amp;</v>
      </c>
      <c r="K23" s="12" t="s">
        <v>56</v>
      </c>
      <c r="L23" s="13"/>
      <c r="M23" s="12"/>
      <c r="N23" s="13"/>
      <c r="O23" s="14" t="s">
        <v>62</v>
      </c>
      <c r="P23" s="11"/>
      <c r="R23" s="75" t="str">
        <f t="shared" si="2"/>
        <v xml:space="preserve">&amp;BW LB </v>
      </c>
      <c r="S23" s="208" t="str">
        <f t="shared" si="3"/>
        <v>&amp;</v>
      </c>
      <c r="V23" s="12" t="s">
        <v>56</v>
      </c>
      <c r="W23" s="13"/>
      <c r="X23" s="12"/>
      <c r="Y23" s="13"/>
      <c r="Z23" s="14" t="s">
        <v>62</v>
      </c>
      <c r="AA23" s="11"/>
    </row>
    <row r="24" spans="2:27" x14ac:dyDescent="0.25">
      <c r="B24" s="38" t="s">
        <v>172</v>
      </c>
      <c r="C24" s="38" t="s">
        <v>173</v>
      </c>
      <c r="D24" s="99">
        <v>0.9</v>
      </c>
      <c r="G24" s="75" t="str">
        <f t="shared" si="0"/>
        <v>&amp;UKURAN AU</v>
      </c>
      <c r="H24" s="208" t="str">
        <f t="shared" si="1"/>
        <v>&amp;</v>
      </c>
      <c r="K24" s="15" t="s">
        <v>57</v>
      </c>
      <c r="L24" s="16"/>
      <c r="M24" s="17" t="s">
        <v>59</v>
      </c>
      <c r="N24" s="16"/>
      <c r="O24" s="17" t="s">
        <v>60</v>
      </c>
      <c r="P24" s="17" t="s">
        <v>61</v>
      </c>
      <c r="R24" s="75" t="str">
        <f t="shared" si="2"/>
        <v>&amp;UKURAN AU</v>
      </c>
      <c r="S24" s="208" t="str">
        <f t="shared" si="3"/>
        <v>&amp;</v>
      </c>
      <c r="V24" s="15" t="s">
        <v>57</v>
      </c>
      <c r="W24" s="16"/>
      <c r="X24" s="17" t="s">
        <v>59</v>
      </c>
      <c r="Y24" s="16"/>
      <c r="Z24" s="17" t="s">
        <v>60</v>
      </c>
      <c r="AA24" s="17" t="s">
        <v>61</v>
      </c>
    </row>
    <row r="25" spans="2:27" x14ac:dyDescent="0.25">
      <c r="B25" s="38" t="s">
        <v>174</v>
      </c>
      <c r="C25" s="38" t="s">
        <v>175</v>
      </c>
      <c r="D25" s="99">
        <v>1.2</v>
      </c>
      <c r="G25" s="75" t="str">
        <f t="shared" si="0"/>
        <v>1.2 – 1.4&amp;UNDER 04</v>
      </c>
      <c r="H25" s="208" t="str">
        <f t="shared" si="1"/>
        <v>1.2 – 1.4&amp;0</v>
      </c>
      <c r="I25" s="75" t="s">
        <v>62</v>
      </c>
      <c r="J25">
        <f>'SETTING PRODUKSI Januari'!AN13</f>
        <v>0</v>
      </c>
      <c r="K25" s="18" t="s">
        <v>63</v>
      </c>
      <c r="L25" s="19">
        <v>0</v>
      </c>
      <c r="M25" s="20">
        <f t="shared" ref="M25:M39" si="4">IFERROR(L25/$L$40,0)</f>
        <v>0</v>
      </c>
      <c r="N25" s="21"/>
      <c r="O25" s="20">
        <v>0</v>
      </c>
      <c r="P25" s="22">
        <v>0</v>
      </c>
      <c r="R25" s="75" t="str">
        <f t="shared" si="2"/>
        <v>1.2 – 1.4&amp;UNDER 04</v>
      </c>
      <c r="S25" s="208" t="str">
        <f t="shared" si="3"/>
        <v>1.2 – 1.4&amp;0</v>
      </c>
      <c r="T25" s="75" t="s">
        <v>62</v>
      </c>
      <c r="U25">
        <f>'SETTING PRODUKSI Januari'!AN41</f>
        <v>0</v>
      </c>
      <c r="V25" s="18" t="s">
        <v>63</v>
      </c>
      <c r="W25" s="19">
        <v>0</v>
      </c>
      <c r="X25" s="20">
        <f t="shared" ref="X25:X39" si="5">IFERROR(W25/$L$40,0)</f>
        <v>0</v>
      </c>
      <c r="Y25" s="21"/>
      <c r="Z25" s="20">
        <v>0</v>
      </c>
      <c r="AA25" s="22">
        <v>0</v>
      </c>
    </row>
    <row r="26" spans="2:27" x14ac:dyDescent="0.25">
      <c r="B26" s="38" t="s">
        <v>176</v>
      </c>
      <c r="C26" s="38" t="s">
        <v>177</v>
      </c>
      <c r="D26" s="99">
        <v>1.2</v>
      </c>
      <c r="G26" s="75" t="str">
        <f t="shared" si="0"/>
        <v>1.2 – 1.4&amp;04 – 05</v>
      </c>
      <c r="H26" s="208" t="str">
        <f t="shared" si="1"/>
        <v>1.2 – 1.4&amp;0</v>
      </c>
      <c r="I26" s="75" t="s">
        <v>62</v>
      </c>
      <c r="J26">
        <f>'SETTING PRODUKSI Januari'!AN14</f>
        <v>0</v>
      </c>
      <c r="K26" s="24" t="s">
        <v>65</v>
      </c>
      <c r="L26" s="19">
        <v>0</v>
      </c>
      <c r="M26" s="20">
        <f t="shared" si="4"/>
        <v>0</v>
      </c>
      <c r="N26" s="21"/>
      <c r="O26" s="20">
        <v>0</v>
      </c>
      <c r="P26" s="22">
        <v>0</v>
      </c>
      <c r="R26" s="75" t="str">
        <f t="shared" si="2"/>
        <v>1.2 – 1.4&amp;04 – 05</v>
      </c>
      <c r="S26" s="208" t="str">
        <f t="shared" si="3"/>
        <v>1.2 – 1.4&amp;0</v>
      </c>
      <c r="T26" s="75" t="s">
        <v>62</v>
      </c>
      <c r="U26">
        <f>'SETTING PRODUKSI Januari'!AN42</f>
        <v>0</v>
      </c>
      <c r="V26" s="24" t="s">
        <v>65</v>
      </c>
      <c r="W26" s="19">
        <v>0</v>
      </c>
      <c r="X26" s="20">
        <f t="shared" si="5"/>
        <v>0</v>
      </c>
      <c r="Y26" s="21"/>
      <c r="Z26" s="20">
        <v>0</v>
      </c>
      <c r="AA26" s="22">
        <v>0</v>
      </c>
    </row>
    <row r="27" spans="2:27" x14ac:dyDescent="0.25">
      <c r="B27" s="38" t="s">
        <v>22</v>
      </c>
      <c r="C27" s="38" t="s">
        <v>23</v>
      </c>
      <c r="D27" s="99">
        <v>1.1000000000000001</v>
      </c>
      <c r="G27" s="75" t="str">
        <f t="shared" si="0"/>
        <v>1.2 – 1.4&amp;05 – 06</v>
      </c>
      <c r="H27" s="208" t="str">
        <f t="shared" si="1"/>
        <v>1.2 – 1.4&amp;0</v>
      </c>
      <c r="I27" s="75" t="s">
        <v>62</v>
      </c>
      <c r="J27">
        <f>'SETTING PRODUKSI Januari'!AN15</f>
        <v>0</v>
      </c>
      <c r="K27" s="18" t="s">
        <v>67</v>
      </c>
      <c r="L27" s="19">
        <v>50</v>
      </c>
      <c r="M27" s="20">
        <f t="shared" si="4"/>
        <v>3.2258064516129031E-2</v>
      </c>
      <c r="N27" s="21"/>
      <c r="O27" s="20">
        <v>0</v>
      </c>
      <c r="P27" s="22">
        <v>0</v>
      </c>
      <c r="R27" s="75" t="str">
        <f t="shared" si="2"/>
        <v>1.2 – 1.4&amp;05 – 06</v>
      </c>
      <c r="S27" s="208" t="str">
        <f t="shared" si="3"/>
        <v>1.2 – 1.4&amp;0</v>
      </c>
      <c r="T27" s="75" t="s">
        <v>62</v>
      </c>
      <c r="U27">
        <f>'SETTING PRODUKSI Januari'!AN43</f>
        <v>0</v>
      </c>
      <c r="V27" s="18" t="s">
        <v>67</v>
      </c>
      <c r="W27" s="19">
        <v>50</v>
      </c>
      <c r="X27" s="20">
        <f t="shared" si="5"/>
        <v>3.2258064516129031E-2</v>
      </c>
      <c r="Y27" s="21"/>
      <c r="Z27" s="20">
        <v>0</v>
      </c>
      <c r="AA27" s="22">
        <v>0</v>
      </c>
    </row>
    <row r="28" spans="2:27" x14ac:dyDescent="0.25">
      <c r="B28" s="38" t="s">
        <v>178</v>
      </c>
      <c r="C28" s="38" t="s">
        <v>179</v>
      </c>
      <c r="D28" s="99">
        <v>1</v>
      </c>
      <c r="G28" s="75" t="str">
        <f t="shared" si="0"/>
        <v>1.2 – 1.4&amp;06 – 07</v>
      </c>
      <c r="H28" s="208" t="str">
        <f t="shared" si="1"/>
        <v>1.2 – 1.4&amp;0</v>
      </c>
      <c r="I28" s="75" t="s">
        <v>62</v>
      </c>
      <c r="J28">
        <f>'SETTING PRODUKSI Januari'!AN16</f>
        <v>0</v>
      </c>
      <c r="K28" s="24" t="s">
        <v>68</v>
      </c>
      <c r="L28" s="19">
        <v>100</v>
      </c>
      <c r="M28" s="20">
        <f t="shared" si="4"/>
        <v>6.4516129032258063E-2</v>
      </c>
      <c r="N28" s="21"/>
      <c r="O28" s="20">
        <v>0</v>
      </c>
      <c r="P28" s="22">
        <v>0</v>
      </c>
      <c r="R28" s="75" t="str">
        <f t="shared" si="2"/>
        <v>1.2 – 1.4&amp;06 – 07</v>
      </c>
      <c r="S28" s="208" t="str">
        <f t="shared" si="3"/>
        <v>1.2 – 1.4&amp;0</v>
      </c>
      <c r="T28" s="75" t="s">
        <v>62</v>
      </c>
      <c r="U28">
        <f>'SETTING PRODUKSI Januari'!AN44</f>
        <v>0</v>
      </c>
      <c r="V28" s="24" t="s">
        <v>68</v>
      </c>
      <c r="W28" s="19">
        <v>100</v>
      </c>
      <c r="X28" s="20">
        <f t="shared" si="5"/>
        <v>6.4516129032258063E-2</v>
      </c>
      <c r="Y28" s="21"/>
      <c r="Z28" s="20">
        <v>0</v>
      </c>
      <c r="AA28" s="22">
        <v>0</v>
      </c>
    </row>
    <row r="29" spans="2:27" x14ac:dyDescent="0.25">
      <c r="B29" s="38" t="s">
        <v>12</v>
      </c>
      <c r="C29" s="38" t="s">
        <v>13</v>
      </c>
      <c r="D29" s="99">
        <v>1.1000000000000001</v>
      </c>
      <c r="G29" s="75" t="str">
        <f t="shared" si="0"/>
        <v>1.2 – 1.4&amp;07 – 08</v>
      </c>
      <c r="H29" s="208" t="str">
        <f t="shared" si="1"/>
        <v>1.2 – 1.4&amp;0</v>
      </c>
      <c r="I29" s="75" t="s">
        <v>62</v>
      </c>
      <c r="J29">
        <f>'SETTING PRODUKSI Januari'!AN17</f>
        <v>0</v>
      </c>
      <c r="K29" s="18" t="s">
        <v>70</v>
      </c>
      <c r="L29" s="19">
        <v>400</v>
      </c>
      <c r="M29" s="20">
        <f t="shared" si="4"/>
        <v>0.25806451612903225</v>
      </c>
      <c r="N29" s="21"/>
      <c r="O29" s="20">
        <v>0</v>
      </c>
      <c r="P29" s="22">
        <v>0</v>
      </c>
      <c r="R29" s="75" t="str">
        <f t="shared" si="2"/>
        <v>1.2 – 1.4&amp;07 – 08</v>
      </c>
      <c r="S29" s="208" t="str">
        <f t="shared" si="3"/>
        <v>1.2 – 1.4&amp;0</v>
      </c>
      <c r="T29" s="75" t="s">
        <v>62</v>
      </c>
      <c r="U29">
        <f>'SETTING PRODUKSI Januari'!AN45</f>
        <v>0</v>
      </c>
      <c r="V29" s="18" t="s">
        <v>70</v>
      </c>
      <c r="W29" s="19">
        <v>400</v>
      </c>
      <c r="X29" s="20">
        <f t="shared" si="5"/>
        <v>0.25806451612903225</v>
      </c>
      <c r="Y29" s="21"/>
      <c r="Z29" s="20">
        <v>0</v>
      </c>
      <c r="AA29" s="22">
        <v>0</v>
      </c>
    </row>
    <row r="30" spans="2:27" x14ac:dyDescent="0.25">
      <c r="B30" s="38" t="s">
        <v>180</v>
      </c>
      <c r="C30" s="38" t="s">
        <v>181</v>
      </c>
      <c r="D30" s="99">
        <v>1.1000000000000001</v>
      </c>
      <c r="G30" s="75" t="str">
        <f t="shared" si="0"/>
        <v>1.2 – 1.4&amp;08 – 09</v>
      </c>
      <c r="H30" s="208" t="str">
        <f t="shared" si="1"/>
        <v>1.2 – 1.4&amp;0</v>
      </c>
      <c r="I30" s="75" t="s">
        <v>62</v>
      </c>
      <c r="J30">
        <f>'SETTING PRODUKSI Januari'!AN18</f>
        <v>0</v>
      </c>
      <c r="K30" s="24" t="s">
        <v>72</v>
      </c>
      <c r="L30" s="19">
        <v>500</v>
      </c>
      <c r="M30" s="20">
        <f t="shared" si="4"/>
        <v>0.32258064516129031</v>
      </c>
      <c r="N30" s="21"/>
      <c r="O30" s="20">
        <v>0</v>
      </c>
      <c r="P30" s="22">
        <v>0</v>
      </c>
      <c r="R30" s="75" t="str">
        <f t="shared" si="2"/>
        <v>1.2 – 1.4&amp;08 – 09</v>
      </c>
      <c r="S30" s="208" t="str">
        <f t="shared" si="3"/>
        <v>1.2 – 1.4&amp;0</v>
      </c>
      <c r="T30" s="75" t="s">
        <v>62</v>
      </c>
      <c r="U30">
        <f>'SETTING PRODUKSI Januari'!AN46</f>
        <v>0</v>
      </c>
      <c r="V30" s="24" t="s">
        <v>72</v>
      </c>
      <c r="W30" s="19">
        <v>500</v>
      </c>
      <c r="X30" s="20">
        <f t="shared" si="5"/>
        <v>0.32258064516129031</v>
      </c>
      <c r="Y30" s="21"/>
      <c r="Z30" s="20">
        <v>0</v>
      </c>
      <c r="AA30" s="22">
        <v>0</v>
      </c>
    </row>
    <row r="31" spans="2:27" x14ac:dyDescent="0.25">
      <c r="B31" s="38" t="s">
        <v>182</v>
      </c>
      <c r="C31" s="38" t="s">
        <v>183</v>
      </c>
      <c r="D31" s="99">
        <v>0.9</v>
      </c>
      <c r="G31" s="75" t="str">
        <f t="shared" si="0"/>
        <v>1.2 – 1.4&amp;09 – 10</v>
      </c>
      <c r="H31" s="208" t="str">
        <f t="shared" si="1"/>
        <v>1.2 – 1.4&amp;0</v>
      </c>
      <c r="I31" s="75" t="s">
        <v>62</v>
      </c>
      <c r="J31">
        <f>'SETTING PRODUKSI Januari'!AN19</f>
        <v>0</v>
      </c>
      <c r="K31" s="18" t="s">
        <v>73</v>
      </c>
      <c r="L31" s="19">
        <v>200</v>
      </c>
      <c r="M31" s="20">
        <f t="shared" si="4"/>
        <v>0.12903225806451613</v>
      </c>
      <c r="N31" s="32"/>
      <c r="O31" s="20">
        <v>0</v>
      </c>
      <c r="P31" s="22">
        <v>0</v>
      </c>
      <c r="R31" s="75" t="str">
        <f t="shared" si="2"/>
        <v>1.2 – 1.4&amp;09 – 10</v>
      </c>
      <c r="S31" s="208" t="str">
        <f t="shared" si="3"/>
        <v>1.2 – 1.4&amp;0</v>
      </c>
      <c r="T31" s="75" t="s">
        <v>62</v>
      </c>
      <c r="U31">
        <f>'SETTING PRODUKSI Januari'!AN47</f>
        <v>0</v>
      </c>
      <c r="V31" s="18" t="s">
        <v>73</v>
      </c>
      <c r="W31" s="19">
        <v>200</v>
      </c>
      <c r="X31" s="20">
        <f t="shared" si="5"/>
        <v>0.12903225806451613</v>
      </c>
      <c r="Y31" s="32"/>
      <c r="Z31" s="20">
        <v>0</v>
      </c>
      <c r="AA31" s="22">
        <v>0</v>
      </c>
    </row>
    <row r="32" spans="2:27" x14ac:dyDescent="0.25">
      <c r="B32" s="38" t="s">
        <v>184</v>
      </c>
      <c r="C32" s="38" t="s">
        <v>185</v>
      </c>
      <c r="D32" s="99">
        <v>1.3</v>
      </c>
      <c r="G32" s="75" t="str">
        <f t="shared" si="0"/>
        <v>1.2 – 1.4&amp;10 – 11</v>
      </c>
      <c r="H32" s="208" t="str">
        <f t="shared" si="1"/>
        <v>1.2 – 1.4&amp;0</v>
      </c>
      <c r="I32" s="75" t="s">
        <v>62</v>
      </c>
      <c r="J32">
        <f>'SETTING PRODUKSI Januari'!AN20</f>
        <v>0</v>
      </c>
      <c r="K32" s="25" t="s">
        <v>74</v>
      </c>
      <c r="L32" s="19">
        <v>150</v>
      </c>
      <c r="M32" s="20">
        <f t="shared" si="4"/>
        <v>9.6774193548387094E-2</v>
      </c>
      <c r="N32" s="32"/>
      <c r="O32" s="20">
        <v>0</v>
      </c>
      <c r="P32" s="22">
        <v>0</v>
      </c>
      <c r="R32" s="75" t="str">
        <f t="shared" si="2"/>
        <v>1.2 – 1.4&amp;10 – 11</v>
      </c>
      <c r="S32" s="208" t="str">
        <f t="shared" si="3"/>
        <v>1.2 – 1.4&amp;0</v>
      </c>
      <c r="T32" s="75" t="s">
        <v>62</v>
      </c>
      <c r="U32">
        <f>'SETTING PRODUKSI Januari'!AN48</f>
        <v>0</v>
      </c>
      <c r="V32" s="25" t="s">
        <v>74</v>
      </c>
      <c r="W32" s="19">
        <v>150</v>
      </c>
      <c r="X32" s="20">
        <f t="shared" si="5"/>
        <v>9.6774193548387094E-2</v>
      </c>
      <c r="Y32" s="32"/>
      <c r="Z32" s="20">
        <v>0</v>
      </c>
      <c r="AA32" s="22">
        <v>0</v>
      </c>
    </row>
    <row r="33" spans="2:27" x14ac:dyDescent="0.25">
      <c r="B33" s="38" t="s">
        <v>212</v>
      </c>
      <c r="C33" s="38" t="s">
        <v>213</v>
      </c>
      <c r="D33" s="99">
        <v>1.2</v>
      </c>
      <c r="G33" s="75" t="str">
        <f t="shared" si="0"/>
        <v>1.2 – 1.4&amp;11 – 12</v>
      </c>
      <c r="H33" s="208" t="str">
        <f t="shared" si="1"/>
        <v>1.2 – 1.4&amp;0</v>
      </c>
      <c r="I33" s="75" t="s">
        <v>62</v>
      </c>
      <c r="J33">
        <f>'SETTING PRODUKSI Januari'!AN21</f>
        <v>0</v>
      </c>
      <c r="K33" s="26" t="s">
        <v>75</v>
      </c>
      <c r="L33" s="19">
        <v>100</v>
      </c>
      <c r="M33" s="20">
        <f t="shared" si="4"/>
        <v>6.4516129032258063E-2</v>
      </c>
      <c r="N33" s="32"/>
      <c r="O33" s="20">
        <v>0</v>
      </c>
      <c r="P33" s="22">
        <v>0</v>
      </c>
      <c r="R33" s="75" t="str">
        <f t="shared" si="2"/>
        <v>1.2 – 1.4&amp;11 – 12</v>
      </c>
      <c r="S33" s="208" t="str">
        <f t="shared" si="3"/>
        <v>1.2 – 1.4&amp;0</v>
      </c>
      <c r="T33" s="75" t="s">
        <v>62</v>
      </c>
      <c r="U33">
        <f>'SETTING PRODUKSI Januari'!AN49</f>
        <v>0</v>
      </c>
      <c r="V33" s="26" t="s">
        <v>75</v>
      </c>
      <c r="W33" s="19">
        <v>100</v>
      </c>
      <c r="X33" s="20">
        <f t="shared" si="5"/>
        <v>6.4516129032258063E-2</v>
      </c>
      <c r="Y33" s="32"/>
      <c r="Z33" s="20">
        <v>0</v>
      </c>
      <c r="AA33" s="22">
        <v>0</v>
      </c>
    </row>
    <row r="34" spans="2:27" x14ac:dyDescent="0.25">
      <c r="B34" s="38" t="s">
        <v>186</v>
      </c>
      <c r="C34" s="38" t="s">
        <v>187</v>
      </c>
      <c r="D34" s="99">
        <v>1.1000000000000001</v>
      </c>
      <c r="G34" s="75" t="str">
        <f t="shared" si="0"/>
        <v>1.2 – 1.4&amp;12 – 13</v>
      </c>
      <c r="H34" s="208" t="str">
        <f t="shared" si="1"/>
        <v>1.2 – 1.4&amp;0</v>
      </c>
      <c r="I34" s="75" t="s">
        <v>62</v>
      </c>
      <c r="J34">
        <f>'SETTING PRODUKSI Januari'!AN22</f>
        <v>0</v>
      </c>
      <c r="K34" s="25" t="s">
        <v>76</v>
      </c>
      <c r="L34" s="19">
        <v>50</v>
      </c>
      <c r="M34" s="20">
        <f t="shared" si="4"/>
        <v>3.2258064516129031E-2</v>
      </c>
      <c r="N34" s="32"/>
      <c r="O34" s="20">
        <v>0</v>
      </c>
      <c r="P34" s="22">
        <v>0</v>
      </c>
      <c r="R34" s="75" t="str">
        <f t="shared" si="2"/>
        <v>1.2 – 1.4&amp;12 – 13</v>
      </c>
      <c r="S34" s="208" t="str">
        <f t="shared" si="3"/>
        <v>1.2 – 1.4&amp;0</v>
      </c>
      <c r="T34" s="75" t="s">
        <v>62</v>
      </c>
      <c r="U34">
        <f>'SETTING PRODUKSI Januari'!AN50</f>
        <v>0</v>
      </c>
      <c r="V34" s="25" t="s">
        <v>76</v>
      </c>
      <c r="W34" s="19">
        <v>50</v>
      </c>
      <c r="X34" s="20">
        <f t="shared" si="5"/>
        <v>3.2258064516129031E-2</v>
      </c>
      <c r="Y34" s="32"/>
      <c r="Z34" s="20">
        <v>0</v>
      </c>
      <c r="AA34" s="22">
        <v>0</v>
      </c>
    </row>
    <row r="35" spans="2:27" x14ac:dyDescent="0.25">
      <c r="B35" s="38" t="s">
        <v>14</v>
      </c>
      <c r="C35" s="38" t="s">
        <v>15</v>
      </c>
      <c r="D35" s="99">
        <v>1</v>
      </c>
      <c r="G35" s="75" t="str">
        <f t="shared" si="0"/>
        <v>1.2 – 1.4&amp;13 – 14</v>
      </c>
      <c r="H35" s="208" t="str">
        <f t="shared" si="1"/>
        <v>1.2 – 1.4&amp;0</v>
      </c>
      <c r="I35" s="75" t="s">
        <v>62</v>
      </c>
      <c r="J35">
        <f>'SETTING PRODUKSI Januari'!AN23</f>
        <v>0</v>
      </c>
      <c r="K35" s="18" t="s">
        <v>77</v>
      </c>
      <c r="L35" s="19">
        <v>0</v>
      </c>
      <c r="M35" s="20">
        <f t="shared" si="4"/>
        <v>0</v>
      </c>
      <c r="N35" s="32"/>
      <c r="O35" s="20">
        <v>0</v>
      </c>
      <c r="P35" s="22">
        <v>0</v>
      </c>
      <c r="R35" s="75" t="str">
        <f t="shared" si="2"/>
        <v>1.2 – 1.4&amp;13 – 14</v>
      </c>
      <c r="S35" s="208" t="str">
        <f t="shared" si="3"/>
        <v>1.2 – 1.4&amp;0</v>
      </c>
      <c r="T35" s="75" t="s">
        <v>62</v>
      </c>
      <c r="U35">
        <f>'SETTING PRODUKSI Januari'!AN51</f>
        <v>0</v>
      </c>
      <c r="V35" s="18" t="s">
        <v>77</v>
      </c>
      <c r="W35" s="19">
        <v>0</v>
      </c>
      <c r="X35" s="20">
        <f t="shared" si="5"/>
        <v>0</v>
      </c>
      <c r="Y35" s="32"/>
      <c r="Z35" s="20">
        <v>0</v>
      </c>
      <c r="AA35" s="22">
        <v>0</v>
      </c>
    </row>
    <row r="36" spans="2:27" x14ac:dyDescent="0.25">
      <c r="B36" s="38" t="s">
        <v>188</v>
      </c>
      <c r="C36" s="38" t="s">
        <v>189</v>
      </c>
      <c r="D36" s="99">
        <v>1</v>
      </c>
      <c r="G36" s="75" t="str">
        <f t="shared" si="0"/>
        <v>1.2 – 1.4&amp;14 – 15</v>
      </c>
      <c r="H36" s="208" t="str">
        <f t="shared" si="1"/>
        <v>1.2 – 1.4&amp;0</v>
      </c>
      <c r="I36" s="75" t="s">
        <v>62</v>
      </c>
      <c r="J36">
        <f>'SETTING PRODUKSI Januari'!AN24</f>
        <v>0</v>
      </c>
      <c r="K36" s="24" t="s">
        <v>78</v>
      </c>
      <c r="L36" s="19">
        <v>0</v>
      </c>
      <c r="M36" s="20">
        <f t="shared" si="4"/>
        <v>0</v>
      </c>
      <c r="N36" s="32"/>
      <c r="O36" s="20">
        <v>0</v>
      </c>
      <c r="P36" s="22">
        <v>0</v>
      </c>
      <c r="R36" s="75" t="str">
        <f t="shared" si="2"/>
        <v>1.2 – 1.4&amp;14 – 15</v>
      </c>
      <c r="S36" s="208" t="str">
        <f t="shared" si="3"/>
        <v>1.2 – 1.4&amp;0</v>
      </c>
      <c r="T36" s="75" t="s">
        <v>62</v>
      </c>
      <c r="U36">
        <f>'SETTING PRODUKSI Januari'!AN52</f>
        <v>0</v>
      </c>
      <c r="V36" s="24" t="s">
        <v>78</v>
      </c>
      <c r="W36" s="19">
        <v>0</v>
      </c>
      <c r="X36" s="20">
        <f t="shared" si="5"/>
        <v>0</v>
      </c>
      <c r="Y36" s="32"/>
      <c r="Z36" s="20">
        <v>0</v>
      </c>
      <c r="AA36" s="22">
        <v>0</v>
      </c>
    </row>
    <row r="37" spans="2:27" x14ac:dyDescent="0.25">
      <c r="B37" s="38" t="s">
        <v>190</v>
      </c>
      <c r="C37" s="38" t="s">
        <v>191</v>
      </c>
      <c r="D37" s="99">
        <v>1.2</v>
      </c>
      <c r="G37" s="75" t="str">
        <f t="shared" si="0"/>
        <v>1.2 – 1.4&amp;15 – 16</v>
      </c>
      <c r="H37" s="208" t="str">
        <f t="shared" si="1"/>
        <v>1.2 – 1.4&amp;0</v>
      </c>
      <c r="I37" s="75" t="s">
        <v>62</v>
      </c>
      <c r="J37">
        <f>'SETTING PRODUKSI Januari'!AN25</f>
        <v>0</v>
      </c>
      <c r="K37" s="18" t="s">
        <v>79</v>
      </c>
      <c r="L37" s="19">
        <v>0</v>
      </c>
      <c r="M37" s="20">
        <f t="shared" si="4"/>
        <v>0</v>
      </c>
      <c r="N37" s="21"/>
      <c r="O37" s="20">
        <v>0</v>
      </c>
      <c r="P37" s="22">
        <v>0</v>
      </c>
      <c r="R37" s="75" t="str">
        <f t="shared" si="2"/>
        <v>1.2 – 1.4&amp;15 – 16</v>
      </c>
      <c r="S37" s="208" t="str">
        <f t="shared" si="3"/>
        <v>1.2 – 1.4&amp;0</v>
      </c>
      <c r="T37" s="75" t="s">
        <v>62</v>
      </c>
      <c r="U37">
        <f>'SETTING PRODUKSI Januari'!AN53</f>
        <v>0</v>
      </c>
      <c r="V37" s="18" t="s">
        <v>79</v>
      </c>
      <c r="W37" s="19">
        <v>0</v>
      </c>
      <c r="X37" s="20">
        <f t="shared" si="5"/>
        <v>0</v>
      </c>
      <c r="Y37" s="21"/>
      <c r="Z37" s="20">
        <v>0</v>
      </c>
      <c r="AA37" s="22">
        <v>0</v>
      </c>
    </row>
    <row r="38" spans="2:27" x14ac:dyDescent="0.25">
      <c r="B38" s="38" t="s">
        <v>6</v>
      </c>
      <c r="C38" s="38" t="s">
        <v>7</v>
      </c>
      <c r="D38" s="99">
        <v>1.1000000000000001</v>
      </c>
      <c r="G38" s="75" t="str">
        <f t="shared" si="0"/>
        <v>1.2 – 1.4&amp;16 - 17</v>
      </c>
      <c r="H38" s="208" t="str">
        <f t="shared" si="1"/>
        <v>1.2 – 1.4&amp;0</v>
      </c>
      <c r="I38" s="75" t="s">
        <v>62</v>
      </c>
      <c r="J38">
        <f>'SETTING PRODUKSI Januari'!AN26</f>
        <v>0</v>
      </c>
      <c r="K38" s="24" t="s">
        <v>339</v>
      </c>
      <c r="L38" s="19">
        <v>0</v>
      </c>
      <c r="M38" s="20">
        <f t="shared" si="4"/>
        <v>0</v>
      </c>
      <c r="N38" s="21"/>
      <c r="O38" s="20">
        <v>0</v>
      </c>
      <c r="P38" s="22">
        <v>0</v>
      </c>
      <c r="R38" s="75" t="str">
        <f t="shared" si="2"/>
        <v>1.2 – 1.4&amp;16 - 17</v>
      </c>
      <c r="S38" s="208" t="str">
        <f t="shared" si="3"/>
        <v>1.2 – 1.4&amp;0</v>
      </c>
      <c r="T38" s="75" t="s">
        <v>62</v>
      </c>
      <c r="U38">
        <f>'SETTING PRODUKSI Januari'!AN54</f>
        <v>0</v>
      </c>
      <c r="V38" s="24" t="s">
        <v>339</v>
      </c>
      <c r="W38" s="19">
        <v>0</v>
      </c>
      <c r="X38" s="20">
        <f t="shared" si="5"/>
        <v>0</v>
      </c>
      <c r="Y38" s="21"/>
      <c r="Z38" s="20">
        <v>0</v>
      </c>
      <c r="AA38" s="22">
        <v>0</v>
      </c>
    </row>
    <row r="39" spans="2:27" x14ac:dyDescent="0.25">
      <c r="B39" s="38" t="s">
        <v>192</v>
      </c>
      <c r="C39" s="38" t="s">
        <v>193</v>
      </c>
      <c r="D39" s="99">
        <v>1.1000000000000001</v>
      </c>
      <c r="G39" s="75" t="str">
        <f t="shared" si="0"/>
        <v>1.2 – 1.4&amp;17 - 18</v>
      </c>
      <c r="H39" s="208" t="str">
        <f t="shared" si="1"/>
        <v>1.2 – 1.4&amp;0</v>
      </c>
      <c r="I39" s="75" t="s">
        <v>62</v>
      </c>
      <c r="J39">
        <f>'SETTING PRODUKSI Januari'!AN27</f>
        <v>0</v>
      </c>
      <c r="K39" s="24" t="s">
        <v>81</v>
      </c>
      <c r="L39" s="19"/>
      <c r="M39" s="20">
        <f t="shared" si="4"/>
        <v>0</v>
      </c>
      <c r="N39" s="21"/>
      <c r="O39" s="20"/>
      <c r="P39" s="22"/>
      <c r="R39" s="75" t="str">
        <f t="shared" si="2"/>
        <v>1.2 – 1.4&amp;17 - 18</v>
      </c>
      <c r="S39" s="208" t="str">
        <f t="shared" si="3"/>
        <v>1.2 – 1.4&amp;0</v>
      </c>
      <c r="T39" s="75" t="s">
        <v>62</v>
      </c>
      <c r="U39">
        <f>'SETTING PRODUKSI Januari'!AN55</f>
        <v>0</v>
      </c>
      <c r="V39" s="24" t="s">
        <v>81</v>
      </c>
      <c r="W39" s="19"/>
      <c r="X39" s="20">
        <f t="shared" si="5"/>
        <v>0</v>
      </c>
      <c r="Y39" s="21"/>
      <c r="Z39" s="20"/>
      <c r="AA39" s="22"/>
    </row>
    <row r="40" spans="2:27" x14ac:dyDescent="0.25">
      <c r="B40" s="38" t="s">
        <v>8</v>
      </c>
      <c r="C40" s="38" t="s">
        <v>9</v>
      </c>
      <c r="D40" s="99">
        <v>1</v>
      </c>
      <c r="G40" s="75" t="str">
        <f t="shared" si="0"/>
        <v>&amp;Total</v>
      </c>
      <c r="H40" s="208" t="str">
        <f t="shared" si="1"/>
        <v>&amp;</v>
      </c>
      <c r="K40" s="28" t="s">
        <v>80</v>
      </c>
      <c r="L40" s="29">
        <f>SUM(L25:L39)</f>
        <v>1550</v>
      </c>
      <c r="M40" s="33">
        <f>SUM(M26:M39)</f>
        <v>1</v>
      </c>
      <c r="N40" s="29">
        <v>0</v>
      </c>
      <c r="O40" s="33">
        <v>0</v>
      </c>
      <c r="P40" s="33">
        <v>0</v>
      </c>
      <c r="R40" s="75" t="str">
        <f t="shared" si="2"/>
        <v>&amp;Total</v>
      </c>
      <c r="S40" s="208" t="str">
        <f t="shared" si="3"/>
        <v>&amp;</v>
      </c>
      <c r="V40" s="28" t="s">
        <v>80</v>
      </c>
      <c r="W40" s="29">
        <f>SUM(W25:W39)</f>
        <v>1550</v>
      </c>
      <c r="X40" s="33">
        <f>SUM(X26:X39)</f>
        <v>1</v>
      </c>
      <c r="Y40" s="29">
        <v>0</v>
      </c>
      <c r="Z40" s="33">
        <v>0</v>
      </c>
      <c r="AA40" s="33">
        <v>0</v>
      </c>
    </row>
    <row r="41" spans="2:27" x14ac:dyDescent="0.25">
      <c r="B41" s="38" t="s">
        <v>20</v>
      </c>
      <c r="C41" s="38" t="s">
        <v>21</v>
      </c>
      <c r="D41" s="99">
        <v>0.9</v>
      </c>
      <c r="G41" s="75" t="str">
        <f t="shared" si="0"/>
        <v>&amp;</v>
      </c>
      <c r="H41" s="208" t="str">
        <f t="shared" si="1"/>
        <v>&amp;</v>
      </c>
      <c r="R41" s="75" t="str">
        <f t="shared" si="2"/>
        <v>&amp;</v>
      </c>
      <c r="S41" s="208" t="str">
        <f t="shared" si="3"/>
        <v>&amp;</v>
      </c>
    </row>
    <row r="42" spans="2:27" x14ac:dyDescent="0.25">
      <c r="B42" s="38" t="s">
        <v>194</v>
      </c>
      <c r="C42" s="38" t="s">
        <v>195</v>
      </c>
      <c r="D42" s="99">
        <v>1.2</v>
      </c>
      <c r="G42" s="75" t="str">
        <f t="shared" si="0"/>
        <v>&amp;</v>
      </c>
      <c r="H42" s="208" t="str">
        <f t="shared" si="1"/>
        <v>&amp;</v>
      </c>
      <c r="R42" s="75" t="str">
        <f t="shared" si="2"/>
        <v>&amp;</v>
      </c>
      <c r="S42" s="208" t="str">
        <f t="shared" si="3"/>
        <v>&amp;</v>
      </c>
    </row>
    <row r="43" spans="2:27" x14ac:dyDescent="0.25">
      <c r="B43" s="38" t="s">
        <v>18</v>
      </c>
      <c r="C43" s="38" t="s">
        <v>19</v>
      </c>
      <c r="D43" s="99">
        <v>1.1000000000000001</v>
      </c>
      <c r="G43" s="75" t="str">
        <f t="shared" si="0"/>
        <v>&amp;</v>
      </c>
      <c r="H43" s="208" t="str">
        <f t="shared" si="1"/>
        <v>&amp;</v>
      </c>
      <c r="R43" s="75" t="str">
        <f t="shared" si="2"/>
        <v>&amp;</v>
      </c>
      <c r="S43" s="208" t="str">
        <f t="shared" si="3"/>
        <v>&amp;</v>
      </c>
    </row>
    <row r="44" spans="2:27" x14ac:dyDescent="0.25">
      <c r="B44" s="38" t="s">
        <v>196</v>
      </c>
      <c r="C44" s="38" t="s">
        <v>197</v>
      </c>
      <c r="D44" s="99">
        <v>1.2</v>
      </c>
      <c r="G44" s="75" t="str">
        <f t="shared" si="0"/>
        <v xml:space="preserve">&amp;BW LB </v>
      </c>
      <c r="H44" s="208" t="str">
        <f t="shared" si="1"/>
        <v>&amp;</v>
      </c>
      <c r="K44" s="12" t="s">
        <v>56</v>
      </c>
      <c r="L44" s="13"/>
      <c r="M44" s="12"/>
      <c r="N44" s="13"/>
      <c r="O44" s="14" t="s">
        <v>64</v>
      </c>
      <c r="P44" s="11"/>
      <c r="R44" s="75" t="str">
        <f t="shared" si="2"/>
        <v xml:space="preserve">&amp;BW LB </v>
      </c>
      <c r="S44" s="208" t="str">
        <f t="shared" si="3"/>
        <v>&amp;</v>
      </c>
      <c r="V44" s="12" t="s">
        <v>56</v>
      </c>
      <c r="W44" s="13"/>
      <c r="X44" s="12"/>
      <c r="Y44" s="13"/>
      <c r="Z44" s="14" t="s">
        <v>64</v>
      </c>
      <c r="AA44" s="11"/>
    </row>
    <row r="45" spans="2:27" x14ac:dyDescent="0.25">
      <c r="B45" s="38" t="s">
        <v>198</v>
      </c>
      <c r="C45" s="38" t="s">
        <v>199</v>
      </c>
      <c r="D45" s="99">
        <v>0.9</v>
      </c>
      <c r="G45" s="75" t="str">
        <f t="shared" si="0"/>
        <v>&amp;UKURAN AU</v>
      </c>
      <c r="H45" s="208" t="str">
        <f t="shared" si="1"/>
        <v>&amp;</v>
      </c>
      <c r="K45" s="15" t="s">
        <v>57</v>
      </c>
      <c r="L45" s="16"/>
      <c r="M45" s="17" t="s">
        <v>59</v>
      </c>
      <c r="N45" s="16"/>
      <c r="O45" s="17" t="s">
        <v>60</v>
      </c>
      <c r="P45" s="17" t="s">
        <v>61</v>
      </c>
      <c r="R45" s="75" t="str">
        <f t="shared" si="2"/>
        <v>&amp;UKURAN AU</v>
      </c>
      <c r="S45" s="208" t="str">
        <f t="shared" si="3"/>
        <v>&amp;</v>
      </c>
      <c r="V45" s="15" t="s">
        <v>57</v>
      </c>
      <c r="W45" s="16"/>
      <c r="X45" s="17" t="s">
        <v>59</v>
      </c>
      <c r="Y45" s="16"/>
      <c r="Z45" s="17" t="s">
        <v>60</v>
      </c>
      <c r="AA45" s="17" t="s">
        <v>61</v>
      </c>
    </row>
    <row r="46" spans="2:27" x14ac:dyDescent="0.25">
      <c r="B46" s="38" t="s">
        <v>26</v>
      </c>
      <c r="C46" s="38" t="s">
        <v>27</v>
      </c>
      <c r="D46" s="99">
        <v>0.8</v>
      </c>
      <c r="G46" s="75" t="str">
        <f t="shared" si="0"/>
        <v>1.3 – 1.5&amp;UNDER 04</v>
      </c>
      <c r="H46" s="208" t="str">
        <f t="shared" si="1"/>
        <v>1.3 – 1.5&amp;0</v>
      </c>
      <c r="I46" s="75" t="s">
        <v>64</v>
      </c>
      <c r="J46">
        <f>'SETTING PRODUKSI Januari'!AQ13</f>
        <v>0</v>
      </c>
      <c r="K46" s="18" t="s">
        <v>63</v>
      </c>
      <c r="L46" s="19">
        <v>0</v>
      </c>
      <c r="M46" s="20">
        <v>0</v>
      </c>
      <c r="N46" s="21"/>
      <c r="O46" s="20">
        <v>0</v>
      </c>
      <c r="P46" s="22">
        <v>0</v>
      </c>
      <c r="R46" s="75" t="str">
        <f t="shared" si="2"/>
        <v>1.3 – 1.5&amp;UNDER 04</v>
      </c>
      <c r="S46" s="208" t="str">
        <f t="shared" si="3"/>
        <v>1.3 – 1.5&amp;0</v>
      </c>
      <c r="T46" s="75" t="s">
        <v>64</v>
      </c>
      <c r="U46">
        <f>'SETTING PRODUKSI Januari'!AQ41</f>
        <v>0</v>
      </c>
      <c r="V46" s="18" t="s">
        <v>63</v>
      </c>
      <c r="W46" s="19">
        <v>0</v>
      </c>
      <c r="X46" s="20">
        <v>0</v>
      </c>
      <c r="Y46" s="21"/>
      <c r="Z46" s="20">
        <v>0</v>
      </c>
      <c r="AA46" s="22">
        <v>0</v>
      </c>
    </row>
    <row r="47" spans="2:27" x14ac:dyDescent="0.25">
      <c r="B47" s="38" t="s">
        <v>10</v>
      </c>
      <c r="C47" s="38" t="s">
        <v>11</v>
      </c>
      <c r="D47" s="99">
        <v>1.1000000000000001</v>
      </c>
      <c r="G47" s="75" t="str">
        <f t="shared" si="0"/>
        <v>1.3 – 1.5&amp;04 – 05</v>
      </c>
      <c r="H47" s="208" t="str">
        <f t="shared" si="1"/>
        <v>1.3 – 1.5&amp;0</v>
      </c>
      <c r="I47" s="75" t="s">
        <v>64</v>
      </c>
      <c r="J47">
        <f>'SETTING PRODUKSI Januari'!AQ14</f>
        <v>0</v>
      </c>
      <c r="K47" s="24" t="s">
        <v>65</v>
      </c>
      <c r="L47" s="19">
        <v>0</v>
      </c>
      <c r="M47" s="20">
        <v>0</v>
      </c>
      <c r="N47" s="21"/>
      <c r="O47" s="20">
        <v>0</v>
      </c>
      <c r="P47" s="22">
        <v>0</v>
      </c>
      <c r="R47" s="75" t="str">
        <f t="shared" si="2"/>
        <v>1.3 – 1.5&amp;04 – 05</v>
      </c>
      <c r="S47" s="208" t="str">
        <f t="shared" si="3"/>
        <v>1.3 – 1.5&amp;0</v>
      </c>
      <c r="T47" s="75" t="s">
        <v>64</v>
      </c>
      <c r="U47">
        <f>'SETTING PRODUKSI Januari'!AQ42</f>
        <v>0</v>
      </c>
      <c r="V47" s="24" t="s">
        <v>65</v>
      </c>
      <c r="W47" s="19">
        <v>0</v>
      </c>
      <c r="X47" s="20">
        <v>0</v>
      </c>
      <c r="Y47" s="21"/>
      <c r="Z47" s="20">
        <v>0</v>
      </c>
      <c r="AA47" s="22">
        <v>0</v>
      </c>
    </row>
    <row r="48" spans="2:27" x14ac:dyDescent="0.25">
      <c r="B48" s="38" t="s">
        <v>28</v>
      </c>
      <c r="C48" s="38" t="s">
        <v>29</v>
      </c>
      <c r="D48" s="99">
        <v>0.9</v>
      </c>
      <c r="G48" s="75" t="str">
        <f t="shared" si="0"/>
        <v>1.3 – 1.5&amp;05 – 06</v>
      </c>
      <c r="H48" s="208" t="str">
        <f t="shared" si="1"/>
        <v>1.3 – 1.5&amp;0</v>
      </c>
      <c r="I48" s="75" t="s">
        <v>64</v>
      </c>
      <c r="J48">
        <f>'SETTING PRODUKSI Januari'!AQ15</f>
        <v>0</v>
      </c>
      <c r="K48" s="18" t="s">
        <v>67</v>
      </c>
      <c r="L48" s="19">
        <v>0</v>
      </c>
      <c r="M48" s="20">
        <v>0</v>
      </c>
      <c r="N48" s="21"/>
      <c r="O48" s="20">
        <v>0</v>
      </c>
      <c r="P48" s="22">
        <v>0</v>
      </c>
      <c r="R48" s="75" t="str">
        <f t="shared" si="2"/>
        <v>1.3 – 1.5&amp;05 – 06</v>
      </c>
      <c r="S48" s="208" t="str">
        <f t="shared" si="3"/>
        <v>1.3 – 1.5&amp;0</v>
      </c>
      <c r="T48" s="75" t="s">
        <v>64</v>
      </c>
      <c r="U48">
        <f>'SETTING PRODUKSI Januari'!AQ43</f>
        <v>0</v>
      </c>
      <c r="V48" s="18" t="s">
        <v>67</v>
      </c>
      <c r="W48" s="19">
        <v>0</v>
      </c>
      <c r="X48" s="20">
        <v>0</v>
      </c>
      <c r="Y48" s="21"/>
      <c r="Z48" s="20">
        <v>0</v>
      </c>
      <c r="AA48" s="22">
        <v>0</v>
      </c>
    </row>
    <row r="49" spans="2:27" x14ac:dyDescent="0.25">
      <c r="B49" s="38" t="s">
        <v>214</v>
      </c>
      <c r="C49" s="38" t="s">
        <v>215</v>
      </c>
      <c r="D49" s="99">
        <v>1.1000000000000001</v>
      </c>
      <c r="G49" s="75" t="str">
        <f t="shared" si="0"/>
        <v>1.3 – 1.5&amp;06 – 07</v>
      </c>
      <c r="H49" s="208" t="str">
        <f t="shared" si="1"/>
        <v>1.3 – 1.5&amp;0</v>
      </c>
      <c r="I49" s="75" t="s">
        <v>64</v>
      </c>
      <c r="J49">
        <f>'SETTING PRODUKSI Januari'!AQ16</f>
        <v>0</v>
      </c>
      <c r="K49" s="24" t="s">
        <v>68</v>
      </c>
      <c r="L49" s="19">
        <v>0</v>
      </c>
      <c r="M49" s="20">
        <v>0.01</v>
      </c>
      <c r="N49" s="21"/>
      <c r="O49" s="20">
        <v>0</v>
      </c>
      <c r="P49" s="22">
        <v>0</v>
      </c>
      <c r="R49" s="75" t="str">
        <f t="shared" si="2"/>
        <v>1.3 – 1.5&amp;06 – 07</v>
      </c>
      <c r="S49" s="208" t="str">
        <f t="shared" si="3"/>
        <v>1.3 – 1.5&amp;0</v>
      </c>
      <c r="T49" s="75" t="s">
        <v>64</v>
      </c>
      <c r="U49">
        <f>'SETTING PRODUKSI Januari'!AQ44</f>
        <v>0</v>
      </c>
      <c r="V49" s="24" t="s">
        <v>68</v>
      </c>
      <c r="W49" s="19">
        <v>0</v>
      </c>
      <c r="X49" s="20">
        <v>0.01</v>
      </c>
      <c r="Y49" s="21"/>
      <c r="Z49" s="20">
        <v>0</v>
      </c>
      <c r="AA49" s="22">
        <v>0</v>
      </c>
    </row>
    <row r="50" spans="2:27" x14ac:dyDescent="0.25">
      <c r="B50" s="38" t="s">
        <v>216</v>
      </c>
      <c r="C50" s="38" t="s">
        <v>217</v>
      </c>
      <c r="D50" s="99">
        <v>0.9</v>
      </c>
      <c r="G50" s="75" t="str">
        <f t="shared" si="0"/>
        <v>1.3 – 1.5&amp;07 – 08</v>
      </c>
      <c r="H50" s="208" t="str">
        <f t="shared" si="1"/>
        <v>1.3 – 1.5&amp;0</v>
      </c>
      <c r="I50" s="75" t="s">
        <v>64</v>
      </c>
      <c r="J50">
        <f>'SETTING PRODUKSI Januari'!AQ17</f>
        <v>0</v>
      </c>
      <c r="K50" s="18" t="s">
        <v>70</v>
      </c>
      <c r="L50" s="19">
        <v>0</v>
      </c>
      <c r="M50" s="20">
        <v>0.03</v>
      </c>
      <c r="N50" s="21"/>
      <c r="O50" s="20">
        <v>0</v>
      </c>
      <c r="P50" s="22">
        <v>0</v>
      </c>
      <c r="R50" s="75" t="str">
        <f t="shared" si="2"/>
        <v>1.3 – 1.5&amp;07 – 08</v>
      </c>
      <c r="S50" s="208" t="str">
        <f t="shared" si="3"/>
        <v>1.3 – 1.5&amp;0</v>
      </c>
      <c r="T50" s="75" t="s">
        <v>64</v>
      </c>
      <c r="U50">
        <f>'SETTING PRODUKSI Januari'!AQ45</f>
        <v>0</v>
      </c>
      <c r="V50" s="18" t="s">
        <v>70</v>
      </c>
      <c r="W50" s="19">
        <v>0</v>
      </c>
      <c r="X50" s="20">
        <v>0.03</v>
      </c>
      <c r="Y50" s="21"/>
      <c r="Z50" s="20">
        <v>0</v>
      </c>
      <c r="AA50" s="22">
        <v>0</v>
      </c>
    </row>
    <row r="51" spans="2:27" x14ac:dyDescent="0.25">
      <c r="B51" s="38" t="s">
        <v>218</v>
      </c>
      <c r="C51" s="38" t="s">
        <v>219</v>
      </c>
      <c r="D51" s="99">
        <v>1</v>
      </c>
      <c r="G51" s="75" t="str">
        <f t="shared" si="0"/>
        <v>1.3 – 1.5&amp;08 – 09</v>
      </c>
      <c r="H51" s="208" t="str">
        <f t="shared" si="1"/>
        <v>1.3 – 1.5&amp;0</v>
      </c>
      <c r="I51" s="75" t="s">
        <v>64</v>
      </c>
      <c r="J51">
        <f>'SETTING PRODUKSI Januari'!AQ18</f>
        <v>0</v>
      </c>
      <c r="K51" s="24" t="s">
        <v>72</v>
      </c>
      <c r="L51" s="19">
        <v>12</v>
      </c>
      <c r="M51" s="20">
        <v>0.1</v>
      </c>
      <c r="N51" s="21"/>
      <c r="O51" s="20">
        <v>0</v>
      </c>
      <c r="P51" s="22">
        <v>0.12</v>
      </c>
      <c r="R51" s="75" t="str">
        <f t="shared" si="2"/>
        <v>1.3 – 1.5&amp;08 – 09</v>
      </c>
      <c r="S51" s="208" t="str">
        <f t="shared" si="3"/>
        <v>1.3 – 1.5&amp;0</v>
      </c>
      <c r="T51" s="75" t="s">
        <v>64</v>
      </c>
      <c r="U51">
        <f>'SETTING PRODUKSI Januari'!AQ46</f>
        <v>0</v>
      </c>
      <c r="V51" s="24" t="s">
        <v>72</v>
      </c>
      <c r="W51" s="19">
        <v>12</v>
      </c>
      <c r="X51" s="20">
        <v>0.1</v>
      </c>
      <c r="Y51" s="21"/>
      <c r="Z51" s="20">
        <v>0</v>
      </c>
      <c r="AA51" s="22">
        <v>0.12</v>
      </c>
    </row>
    <row r="52" spans="2:27" x14ac:dyDescent="0.25">
      <c r="B52" s="38" t="s">
        <v>220</v>
      </c>
      <c r="C52" s="38" t="s">
        <v>221</v>
      </c>
      <c r="D52" s="99">
        <v>1</v>
      </c>
      <c r="G52" s="75" t="str">
        <f t="shared" si="0"/>
        <v>1.3 – 1.5&amp;09 – 10</v>
      </c>
      <c r="H52" s="208" t="str">
        <f t="shared" si="1"/>
        <v>1.3 – 1.5&amp;0</v>
      </c>
      <c r="I52" s="75" t="s">
        <v>64</v>
      </c>
      <c r="J52">
        <f>'SETTING PRODUKSI Januari'!AQ19</f>
        <v>0</v>
      </c>
      <c r="K52" s="18" t="s">
        <v>73</v>
      </c>
      <c r="L52" s="19">
        <v>25</v>
      </c>
      <c r="M52" s="20">
        <v>0.26</v>
      </c>
      <c r="N52" s="21"/>
      <c r="O52" s="20">
        <v>0</v>
      </c>
      <c r="P52" s="22">
        <v>0.25</v>
      </c>
      <c r="R52" s="75" t="str">
        <f t="shared" si="2"/>
        <v>1.3 – 1.5&amp;09 – 10</v>
      </c>
      <c r="S52" s="208" t="str">
        <f t="shared" si="3"/>
        <v>1.3 – 1.5&amp;0</v>
      </c>
      <c r="T52" s="75" t="s">
        <v>64</v>
      </c>
      <c r="U52">
        <f>'SETTING PRODUKSI Januari'!AQ47</f>
        <v>0</v>
      </c>
      <c r="V52" s="18" t="s">
        <v>73</v>
      </c>
      <c r="W52" s="19">
        <v>25</v>
      </c>
      <c r="X52" s="20">
        <v>0.26</v>
      </c>
      <c r="Y52" s="21"/>
      <c r="Z52" s="20">
        <v>0</v>
      </c>
      <c r="AA52" s="22">
        <v>0.25</v>
      </c>
    </row>
    <row r="53" spans="2:27" x14ac:dyDescent="0.25">
      <c r="B53" s="38" t="s">
        <v>222</v>
      </c>
      <c r="C53" s="38" t="s">
        <v>223</v>
      </c>
      <c r="D53" s="99">
        <v>1.1000000000000001</v>
      </c>
      <c r="G53" s="75" t="str">
        <f t="shared" si="0"/>
        <v>1.3 – 1.5&amp;10 – 11</v>
      </c>
      <c r="H53" s="208" t="str">
        <f t="shared" si="1"/>
        <v>1.3 – 1.5&amp;0</v>
      </c>
      <c r="I53" s="75" t="s">
        <v>64</v>
      </c>
      <c r="J53">
        <f>'SETTING PRODUKSI Januari'!AQ20</f>
        <v>0</v>
      </c>
      <c r="K53" s="25" t="s">
        <v>74</v>
      </c>
      <c r="L53" s="19">
        <v>43</v>
      </c>
      <c r="M53" s="20">
        <v>0.28999999999999998</v>
      </c>
      <c r="N53" s="21"/>
      <c r="O53" s="20">
        <v>0</v>
      </c>
      <c r="P53" s="22">
        <v>0.43</v>
      </c>
      <c r="R53" s="75" t="str">
        <f t="shared" si="2"/>
        <v>1.3 – 1.5&amp;10 – 11</v>
      </c>
      <c r="S53" s="208" t="str">
        <f t="shared" si="3"/>
        <v>1.3 – 1.5&amp;0</v>
      </c>
      <c r="T53" s="75" t="s">
        <v>64</v>
      </c>
      <c r="U53">
        <f>'SETTING PRODUKSI Januari'!AQ48</f>
        <v>0</v>
      </c>
      <c r="V53" s="25" t="s">
        <v>74</v>
      </c>
      <c r="W53" s="19">
        <v>43</v>
      </c>
      <c r="X53" s="20">
        <v>0.28999999999999998</v>
      </c>
      <c r="Y53" s="21"/>
      <c r="Z53" s="20">
        <v>0</v>
      </c>
      <c r="AA53" s="22">
        <v>0.43</v>
      </c>
    </row>
    <row r="54" spans="2:27" x14ac:dyDescent="0.25">
      <c r="B54" s="38" t="s">
        <v>224</v>
      </c>
      <c r="C54" s="38" t="s">
        <v>225</v>
      </c>
      <c r="D54" s="99">
        <v>0.9</v>
      </c>
      <c r="G54" s="75" t="str">
        <f t="shared" si="0"/>
        <v>1.3 – 1.5&amp;11 – 12</v>
      </c>
      <c r="H54" s="208" t="str">
        <f t="shared" si="1"/>
        <v>1.3 – 1.5&amp;0</v>
      </c>
      <c r="I54" s="75" t="s">
        <v>64</v>
      </c>
      <c r="J54">
        <f>'SETTING PRODUKSI Januari'!AQ21</f>
        <v>0</v>
      </c>
      <c r="K54" s="26" t="s">
        <v>75</v>
      </c>
      <c r="L54" s="19">
        <v>17</v>
      </c>
      <c r="M54" s="20">
        <v>0.19</v>
      </c>
      <c r="N54" s="21"/>
      <c r="O54" s="20">
        <v>0</v>
      </c>
      <c r="P54" s="22">
        <v>0.17</v>
      </c>
      <c r="R54" s="75" t="str">
        <f t="shared" si="2"/>
        <v>1.3 – 1.5&amp;11 – 12</v>
      </c>
      <c r="S54" s="208" t="str">
        <f t="shared" si="3"/>
        <v>1.3 – 1.5&amp;0</v>
      </c>
      <c r="T54" s="75" t="s">
        <v>64</v>
      </c>
      <c r="U54">
        <f>'SETTING PRODUKSI Januari'!AQ49</f>
        <v>0</v>
      </c>
      <c r="V54" s="26" t="s">
        <v>75</v>
      </c>
      <c r="W54" s="19">
        <v>17</v>
      </c>
      <c r="X54" s="20">
        <v>0.19</v>
      </c>
      <c r="Y54" s="21"/>
      <c r="Z54" s="20">
        <v>0</v>
      </c>
      <c r="AA54" s="22">
        <v>0.17</v>
      </c>
    </row>
    <row r="55" spans="2:27" x14ac:dyDescent="0.25">
      <c r="B55" s="38" t="s">
        <v>226</v>
      </c>
      <c r="C55" s="38" t="s">
        <v>227</v>
      </c>
      <c r="D55" s="99">
        <v>1.2</v>
      </c>
      <c r="G55" s="75" t="str">
        <f t="shared" si="0"/>
        <v>1.3 – 1.5&amp;12 – 13</v>
      </c>
      <c r="H55" s="208" t="str">
        <f t="shared" si="1"/>
        <v>1.3 – 1.5&amp;0</v>
      </c>
      <c r="I55" s="75" t="s">
        <v>64</v>
      </c>
      <c r="J55">
        <f>'SETTING PRODUKSI Januari'!AQ22</f>
        <v>0</v>
      </c>
      <c r="K55" s="25" t="s">
        <v>76</v>
      </c>
      <c r="L55" s="19">
        <v>3</v>
      </c>
      <c r="M55" s="20">
        <v>0.08</v>
      </c>
      <c r="N55" s="21"/>
      <c r="O55" s="20">
        <v>0</v>
      </c>
      <c r="P55" s="22">
        <v>0.03</v>
      </c>
      <c r="R55" s="75" t="str">
        <f t="shared" si="2"/>
        <v>1.3 – 1.5&amp;12 – 13</v>
      </c>
      <c r="S55" s="208" t="str">
        <f t="shared" si="3"/>
        <v>1.3 – 1.5&amp;0</v>
      </c>
      <c r="T55" s="75" t="s">
        <v>64</v>
      </c>
      <c r="U55">
        <f>'SETTING PRODUKSI Januari'!AQ50</f>
        <v>0</v>
      </c>
      <c r="V55" s="25" t="s">
        <v>76</v>
      </c>
      <c r="W55" s="19">
        <v>3</v>
      </c>
      <c r="X55" s="20">
        <v>0.08</v>
      </c>
      <c r="Y55" s="21"/>
      <c r="Z55" s="20">
        <v>0</v>
      </c>
      <c r="AA55" s="22">
        <v>0.03</v>
      </c>
    </row>
    <row r="56" spans="2:27" x14ac:dyDescent="0.25">
      <c r="B56" s="38" t="s">
        <v>228</v>
      </c>
      <c r="C56" s="38" t="s">
        <v>229</v>
      </c>
      <c r="D56" s="99">
        <v>1</v>
      </c>
      <c r="G56" s="75" t="str">
        <f t="shared" si="0"/>
        <v>1.3 – 1.5&amp;13 – 14</v>
      </c>
      <c r="H56" s="208" t="str">
        <f t="shared" si="1"/>
        <v>1.3 – 1.5&amp;0</v>
      </c>
      <c r="I56" s="75" t="s">
        <v>64</v>
      </c>
      <c r="J56">
        <f>'SETTING PRODUKSI Januari'!AQ23</f>
        <v>0</v>
      </c>
      <c r="K56" s="18" t="s">
        <v>77</v>
      </c>
      <c r="L56" s="19">
        <v>0</v>
      </c>
      <c r="M56" s="20">
        <v>0.03</v>
      </c>
      <c r="N56" s="21"/>
      <c r="O56" s="20">
        <v>0</v>
      </c>
      <c r="P56" s="22">
        <v>0</v>
      </c>
      <c r="R56" s="75" t="str">
        <f t="shared" si="2"/>
        <v>1.3 – 1.5&amp;13 – 14</v>
      </c>
      <c r="S56" s="208" t="str">
        <f t="shared" si="3"/>
        <v>1.3 – 1.5&amp;0</v>
      </c>
      <c r="T56" s="75" t="s">
        <v>64</v>
      </c>
      <c r="U56">
        <f>'SETTING PRODUKSI Januari'!AQ51</f>
        <v>0</v>
      </c>
      <c r="V56" s="18" t="s">
        <v>77</v>
      </c>
      <c r="W56" s="19">
        <v>0</v>
      </c>
      <c r="X56" s="20">
        <v>0.03</v>
      </c>
      <c r="Y56" s="21"/>
      <c r="Z56" s="20">
        <v>0</v>
      </c>
      <c r="AA56" s="22">
        <v>0</v>
      </c>
    </row>
    <row r="57" spans="2:27" x14ac:dyDescent="0.25">
      <c r="B57" s="38" t="s">
        <v>230</v>
      </c>
      <c r="C57" s="38" t="s">
        <v>231</v>
      </c>
      <c r="D57" s="99">
        <v>0.9</v>
      </c>
      <c r="G57" s="75" t="str">
        <f t="shared" si="0"/>
        <v>1.3 – 1.5&amp;14 – 15</v>
      </c>
      <c r="H57" s="208" t="str">
        <f t="shared" si="1"/>
        <v>1.3 – 1.5&amp;0</v>
      </c>
      <c r="I57" s="75" t="s">
        <v>64</v>
      </c>
      <c r="J57">
        <f>'SETTING PRODUKSI Januari'!AQ24</f>
        <v>0</v>
      </c>
      <c r="K57" s="24" t="s">
        <v>78</v>
      </c>
      <c r="L57" s="19">
        <v>0</v>
      </c>
      <c r="M57" s="20">
        <v>0.01</v>
      </c>
      <c r="N57" s="21"/>
      <c r="O57" s="20">
        <v>0</v>
      </c>
      <c r="P57" s="22">
        <v>0</v>
      </c>
      <c r="R57" s="75" t="str">
        <f t="shared" si="2"/>
        <v>1.3 – 1.5&amp;14 – 15</v>
      </c>
      <c r="S57" s="208" t="str">
        <f t="shared" si="3"/>
        <v>1.3 – 1.5&amp;0</v>
      </c>
      <c r="T57" s="75" t="s">
        <v>64</v>
      </c>
      <c r="U57">
        <f>'SETTING PRODUKSI Januari'!AQ52</f>
        <v>0</v>
      </c>
      <c r="V57" s="24" t="s">
        <v>78</v>
      </c>
      <c r="W57" s="19">
        <v>0</v>
      </c>
      <c r="X57" s="20">
        <v>0.01</v>
      </c>
      <c r="Y57" s="21"/>
      <c r="Z57" s="20">
        <v>0</v>
      </c>
      <c r="AA57" s="22">
        <v>0</v>
      </c>
    </row>
    <row r="58" spans="2:27" x14ac:dyDescent="0.25">
      <c r="B58" s="38" t="s">
        <v>232</v>
      </c>
      <c r="C58" s="38" t="s">
        <v>233</v>
      </c>
      <c r="D58" s="99">
        <v>0.8</v>
      </c>
      <c r="G58" s="75" t="str">
        <f t="shared" si="0"/>
        <v>1.3 – 1.5&amp;15 – 16</v>
      </c>
      <c r="H58" s="208" t="str">
        <f t="shared" si="1"/>
        <v>1.3 – 1.5&amp;0</v>
      </c>
      <c r="I58" s="75" t="s">
        <v>64</v>
      </c>
      <c r="J58">
        <f>'SETTING PRODUKSI Januari'!AQ25</f>
        <v>0</v>
      </c>
      <c r="K58" s="18" t="s">
        <v>79</v>
      </c>
      <c r="L58" s="19">
        <v>0</v>
      </c>
      <c r="M58" s="20">
        <v>0</v>
      </c>
      <c r="N58" s="21"/>
      <c r="O58" s="20">
        <v>0</v>
      </c>
      <c r="P58" s="22">
        <v>0</v>
      </c>
      <c r="R58" s="75" t="str">
        <f t="shared" si="2"/>
        <v>1.3 – 1.5&amp;15 – 16</v>
      </c>
      <c r="S58" s="208" t="str">
        <f t="shared" si="3"/>
        <v>1.3 – 1.5&amp;0</v>
      </c>
      <c r="T58" s="75" t="s">
        <v>64</v>
      </c>
      <c r="U58">
        <f>'SETTING PRODUKSI Januari'!AQ53</f>
        <v>0</v>
      </c>
      <c r="V58" s="18" t="s">
        <v>79</v>
      </c>
      <c r="W58" s="19">
        <v>0</v>
      </c>
      <c r="X58" s="20">
        <v>0</v>
      </c>
      <c r="Y58" s="21"/>
      <c r="Z58" s="20">
        <v>0</v>
      </c>
      <c r="AA58" s="22">
        <v>0</v>
      </c>
    </row>
    <row r="59" spans="2:27" x14ac:dyDescent="0.25">
      <c r="B59" s="38" t="s">
        <v>234</v>
      </c>
      <c r="C59" s="38" t="s">
        <v>235</v>
      </c>
      <c r="D59" s="99">
        <v>0.8</v>
      </c>
      <c r="G59" s="75" t="str">
        <f t="shared" si="0"/>
        <v>1.3 – 1.5&amp;16 - 17</v>
      </c>
      <c r="H59" s="208" t="str">
        <f t="shared" si="1"/>
        <v>1.3 – 1.5&amp;0</v>
      </c>
      <c r="I59" s="75" t="s">
        <v>64</v>
      </c>
      <c r="J59">
        <f>'SETTING PRODUKSI Januari'!AQ26</f>
        <v>0</v>
      </c>
      <c r="K59" s="24" t="s">
        <v>339</v>
      </c>
      <c r="L59" s="19">
        <v>0</v>
      </c>
      <c r="M59" s="20">
        <v>0</v>
      </c>
      <c r="N59" s="21"/>
      <c r="O59" s="20">
        <v>0</v>
      </c>
      <c r="P59" s="22">
        <v>0</v>
      </c>
      <c r="R59" s="75" t="str">
        <f t="shared" si="2"/>
        <v>1.3 – 1.5&amp;16 - 17</v>
      </c>
      <c r="S59" s="208" t="str">
        <f t="shared" si="3"/>
        <v>1.3 – 1.5&amp;0</v>
      </c>
      <c r="T59" s="75" t="s">
        <v>64</v>
      </c>
      <c r="U59">
        <f>'SETTING PRODUKSI Januari'!AQ54</f>
        <v>0</v>
      </c>
      <c r="V59" s="24" t="s">
        <v>339</v>
      </c>
      <c r="W59" s="19">
        <v>0</v>
      </c>
      <c r="X59" s="20">
        <v>0</v>
      </c>
      <c r="Y59" s="21"/>
      <c r="Z59" s="20">
        <v>0</v>
      </c>
      <c r="AA59" s="22">
        <v>0</v>
      </c>
    </row>
    <row r="60" spans="2:27" x14ac:dyDescent="0.25">
      <c r="B60" s="38" t="s">
        <v>236</v>
      </c>
      <c r="C60" s="38" t="s">
        <v>237</v>
      </c>
      <c r="D60" s="99">
        <v>1</v>
      </c>
      <c r="G60" s="75" t="str">
        <f t="shared" si="0"/>
        <v>&amp;</v>
      </c>
      <c r="H60" s="208" t="str">
        <f t="shared" si="1"/>
        <v>&amp;0</v>
      </c>
      <c r="J60">
        <f>'SETTING PRODUKSI Januari'!AQ27</f>
        <v>0</v>
      </c>
      <c r="K60" s="24"/>
      <c r="L60" s="19"/>
      <c r="M60" s="20"/>
      <c r="N60" s="21"/>
      <c r="O60" s="20"/>
      <c r="P60" s="22"/>
      <c r="R60" s="75" t="str">
        <f t="shared" si="2"/>
        <v>&amp;</v>
      </c>
      <c r="S60" s="208" t="str">
        <f t="shared" si="3"/>
        <v>&amp;0</v>
      </c>
      <c r="U60">
        <f>'SETTING PRODUKSI Januari'!AQ55</f>
        <v>0</v>
      </c>
      <c r="V60" s="24"/>
      <c r="W60" s="19"/>
      <c r="X60" s="20"/>
      <c r="Y60" s="21"/>
      <c r="Z60" s="20"/>
      <c r="AA60" s="22"/>
    </row>
    <row r="61" spans="2:27" x14ac:dyDescent="0.25">
      <c r="B61" s="38" t="s">
        <v>238</v>
      </c>
      <c r="C61" s="38" t="s">
        <v>239</v>
      </c>
      <c r="D61" s="99">
        <v>1.1000000000000001</v>
      </c>
      <c r="G61" s="75" t="str">
        <f t="shared" si="0"/>
        <v>&amp;Total</v>
      </c>
      <c r="H61" s="208" t="str">
        <f t="shared" si="1"/>
        <v>&amp;</v>
      </c>
      <c r="K61" s="28" t="s">
        <v>80</v>
      </c>
      <c r="L61" s="29"/>
      <c r="M61" s="33">
        <f>SUM(M47:M60)</f>
        <v>0.99999999999999989</v>
      </c>
      <c r="N61" s="29">
        <v>0</v>
      </c>
      <c r="O61" s="33">
        <v>0</v>
      </c>
      <c r="P61" s="33">
        <v>1</v>
      </c>
      <c r="R61" s="75" t="str">
        <f t="shared" si="2"/>
        <v>&amp;Total</v>
      </c>
      <c r="S61" s="208" t="str">
        <f t="shared" si="3"/>
        <v>&amp;</v>
      </c>
      <c r="V61" s="28" t="s">
        <v>80</v>
      </c>
      <c r="W61" s="29"/>
      <c r="X61" s="33">
        <f>SUM(X47:X60)</f>
        <v>0.99999999999999989</v>
      </c>
      <c r="Y61" s="29">
        <v>0</v>
      </c>
      <c r="Z61" s="33">
        <v>0</v>
      </c>
      <c r="AA61" s="33">
        <v>1</v>
      </c>
    </row>
    <row r="62" spans="2:27" x14ac:dyDescent="0.25">
      <c r="B62" s="38" t="s">
        <v>240</v>
      </c>
      <c r="C62" s="38" t="s">
        <v>241</v>
      </c>
      <c r="D62" s="99">
        <v>1.2</v>
      </c>
      <c r="G62" s="75" t="str">
        <f t="shared" si="0"/>
        <v>&amp;</v>
      </c>
      <c r="H62" s="208" t="str">
        <f t="shared" si="1"/>
        <v>&amp;</v>
      </c>
      <c r="R62" s="75" t="str">
        <f t="shared" si="2"/>
        <v>&amp;</v>
      </c>
      <c r="S62" s="208" t="str">
        <f t="shared" si="3"/>
        <v>&amp;</v>
      </c>
    </row>
    <row r="63" spans="2:27" x14ac:dyDescent="0.25">
      <c r="B63" s="38" t="s">
        <v>242</v>
      </c>
      <c r="C63" s="38" t="s">
        <v>243</v>
      </c>
      <c r="D63" s="99">
        <v>0.8</v>
      </c>
      <c r="G63" s="75" t="str">
        <f t="shared" si="0"/>
        <v xml:space="preserve">&amp;BW LB </v>
      </c>
      <c r="H63" s="208" t="str">
        <f t="shared" si="1"/>
        <v>&amp;</v>
      </c>
      <c r="K63" s="12" t="s">
        <v>56</v>
      </c>
      <c r="L63" s="13"/>
      <c r="M63" s="12"/>
      <c r="N63" s="13"/>
      <c r="O63" s="14" t="s">
        <v>66</v>
      </c>
      <c r="P63" s="11"/>
      <c r="R63" s="75" t="str">
        <f t="shared" si="2"/>
        <v xml:space="preserve">&amp;BW LB </v>
      </c>
      <c r="S63" s="208" t="str">
        <f t="shared" si="3"/>
        <v>&amp;</v>
      </c>
      <c r="V63" s="12" t="s">
        <v>56</v>
      </c>
      <c r="W63" s="13"/>
      <c r="X63" s="12"/>
      <c r="Y63" s="13"/>
      <c r="Z63" s="14" t="s">
        <v>66</v>
      </c>
      <c r="AA63" s="11"/>
    </row>
    <row r="64" spans="2:27" x14ac:dyDescent="0.25">
      <c r="B64" s="38" t="s">
        <v>244</v>
      </c>
      <c r="C64" s="38" t="s">
        <v>245</v>
      </c>
      <c r="D64" s="99">
        <v>0.9</v>
      </c>
      <c r="G64" s="75" t="str">
        <f t="shared" si="0"/>
        <v>&amp;UKURAN AU</v>
      </c>
      <c r="H64" s="208" t="str">
        <f t="shared" si="1"/>
        <v>&amp;</v>
      </c>
      <c r="K64" s="15" t="s">
        <v>57</v>
      </c>
      <c r="L64" s="16"/>
      <c r="M64" s="17" t="s">
        <v>59</v>
      </c>
      <c r="N64" s="16"/>
      <c r="O64" s="17" t="s">
        <v>60</v>
      </c>
      <c r="P64" s="17" t="s">
        <v>61</v>
      </c>
      <c r="R64" s="75" t="str">
        <f t="shared" si="2"/>
        <v>&amp;UKURAN AU</v>
      </c>
      <c r="S64" s="208" t="str">
        <f t="shared" si="3"/>
        <v>&amp;</v>
      </c>
      <c r="V64" s="15" t="s">
        <v>57</v>
      </c>
      <c r="W64" s="16"/>
      <c r="X64" s="17" t="s">
        <v>59</v>
      </c>
      <c r="Y64" s="16"/>
      <c r="Z64" s="17" t="s">
        <v>60</v>
      </c>
      <c r="AA64" s="17" t="s">
        <v>61</v>
      </c>
    </row>
    <row r="65" spans="2:27" x14ac:dyDescent="0.25">
      <c r="B65" s="38" t="s">
        <v>246</v>
      </c>
      <c r="C65" s="38" t="s">
        <v>247</v>
      </c>
      <c r="D65" s="99">
        <v>1.1000000000000001</v>
      </c>
      <c r="G65" s="75" t="str">
        <f t="shared" si="0"/>
        <v>1.4 – 1.6&amp;UNDER 04</v>
      </c>
      <c r="H65" s="208" t="str">
        <f t="shared" si="1"/>
        <v>1.4 – 1.6&amp;0</v>
      </c>
      <c r="I65" s="75" t="s">
        <v>66</v>
      </c>
      <c r="J65" s="75">
        <f>'SETTING PRODUKSI Januari'!AB13</f>
        <v>0</v>
      </c>
      <c r="K65" s="18" t="s">
        <v>63</v>
      </c>
      <c r="L65" s="19"/>
      <c r="M65" s="20">
        <v>0</v>
      </c>
      <c r="N65" s="19"/>
      <c r="O65" s="20">
        <v>0</v>
      </c>
      <c r="P65" s="22">
        <v>0</v>
      </c>
      <c r="R65" s="75" t="str">
        <f t="shared" si="2"/>
        <v>1.4 – 1.6&amp;UNDER 04</v>
      </c>
      <c r="S65" s="208" t="str">
        <f t="shared" si="3"/>
        <v>1.4 – 1.6&amp;0</v>
      </c>
      <c r="T65" s="75" t="s">
        <v>66</v>
      </c>
      <c r="U65" s="75">
        <f>'SETTING PRODUKSI Januari'!AB41</f>
        <v>0</v>
      </c>
      <c r="V65" s="18" t="s">
        <v>63</v>
      </c>
      <c r="W65" s="19"/>
      <c r="X65" s="20">
        <v>0</v>
      </c>
      <c r="Y65" s="19"/>
      <c r="Z65" s="20">
        <v>0</v>
      </c>
      <c r="AA65" s="22">
        <v>0</v>
      </c>
    </row>
    <row r="66" spans="2:27" x14ac:dyDescent="0.25">
      <c r="B66" s="38" t="s">
        <v>248</v>
      </c>
      <c r="C66" s="38" t="s">
        <v>249</v>
      </c>
      <c r="D66" s="99">
        <v>0.9</v>
      </c>
      <c r="G66" s="75" t="str">
        <f t="shared" si="0"/>
        <v>1.4 – 1.6&amp;04 – 05</v>
      </c>
      <c r="H66" s="208" t="str">
        <f t="shared" si="1"/>
        <v>1.4 – 1.6&amp;0</v>
      </c>
      <c r="I66" s="75" t="s">
        <v>66</v>
      </c>
      <c r="J66" s="75">
        <f>'SETTING PRODUKSI Januari'!AB14</f>
        <v>0</v>
      </c>
      <c r="K66" s="24" t="s">
        <v>65</v>
      </c>
      <c r="L66" s="19"/>
      <c r="M66" s="20">
        <v>0</v>
      </c>
      <c r="N66" s="19"/>
      <c r="O66" s="20">
        <v>0</v>
      </c>
      <c r="P66" s="22">
        <v>0</v>
      </c>
      <c r="R66" s="75" t="str">
        <f t="shared" si="2"/>
        <v>1.4 – 1.6&amp;04 – 05</v>
      </c>
      <c r="S66" s="208" t="str">
        <f t="shared" si="3"/>
        <v>1.4 – 1.6&amp;0</v>
      </c>
      <c r="T66" s="75" t="s">
        <v>66</v>
      </c>
      <c r="U66" s="75">
        <f>'SETTING PRODUKSI Januari'!AB42</f>
        <v>0</v>
      </c>
      <c r="V66" s="24" t="s">
        <v>65</v>
      </c>
      <c r="W66" s="19"/>
      <c r="X66" s="20">
        <v>0</v>
      </c>
      <c r="Y66" s="19"/>
      <c r="Z66" s="20">
        <v>0</v>
      </c>
      <c r="AA66" s="22">
        <v>0</v>
      </c>
    </row>
    <row r="67" spans="2:27" x14ac:dyDescent="0.25">
      <c r="B67" s="38" t="s">
        <v>250</v>
      </c>
      <c r="C67" s="38" t="s">
        <v>251</v>
      </c>
      <c r="D67" s="99">
        <v>1</v>
      </c>
      <c r="G67" s="75" t="str">
        <f t="shared" si="0"/>
        <v>1.4 – 1.6&amp;05 – 06</v>
      </c>
      <c r="H67" s="208" t="str">
        <f t="shared" si="1"/>
        <v>1.4 – 1.6&amp;0</v>
      </c>
      <c r="I67" s="75" t="s">
        <v>66</v>
      </c>
      <c r="J67" s="75">
        <f>'SETTING PRODUKSI Januari'!AB15</f>
        <v>0</v>
      </c>
      <c r="K67" s="18" t="s">
        <v>67</v>
      </c>
      <c r="L67" s="19"/>
      <c r="M67" s="20">
        <v>0</v>
      </c>
      <c r="N67" s="19"/>
      <c r="O67" s="20">
        <v>0</v>
      </c>
      <c r="P67" s="22">
        <v>0</v>
      </c>
      <c r="R67" s="75" t="str">
        <f t="shared" si="2"/>
        <v>1.4 – 1.6&amp;05 – 06</v>
      </c>
      <c r="S67" s="208" t="str">
        <f t="shared" si="3"/>
        <v>1.4 – 1.6&amp;0</v>
      </c>
      <c r="T67" s="75" t="s">
        <v>66</v>
      </c>
      <c r="U67" s="75">
        <f>'SETTING PRODUKSI Januari'!AB43</f>
        <v>0</v>
      </c>
      <c r="V67" s="18" t="s">
        <v>67</v>
      </c>
      <c r="W67" s="19"/>
      <c r="X67" s="20">
        <v>0</v>
      </c>
      <c r="Y67" s="19"/>
      <c r="Z67" s="20">
        <v>0</v>
      </c>
      <c r="AA67" s="22">
        <v>0</v>
      </c>
    </row>
    <row r="68" spans="2:27" x14ac:dyDescent="0.25">
      <c r="B68" s="38" t="s">
        <v>252</v>
      </c>
      <c r="C68" s="38" t="s">
        <v>253</v>
      </c>
      <c r="D68" s="99">
        <v>0.9</v>
      </c>
      <c r="G68" s="75" t="str">
        <f t="shared" si="0"/>
        <v>1.4 – 1.6&amp;06 – 07</v>
      </c>
      <c r="H68" s="208" t="str">
        <f t="shared" si="1"/>
        <v>1.4 – 1.6&amp;0</v>
      </c>
      <c r="I68" s="75" t="s">
        <v>66</v>
      </c>
      <c r="J68" s="75">
        <f>'SETTING PRODUKSI Januari'!AB16</f>
        <v>0</v>
      </c>
      <c r="K68" s="24" t="s">
        <v>68</v>
      </c>
      <c r="L68" s="19"/>
      <c r="M68" s="20">
        <v>0.01</v>
      </c>
      <c r="N68" s="19"/>
      <c r="O68" s="20">
        <v>0</v>
      </c>
      <c r="P68" s="22">
        <v>4.0000000000000001E-3</v>
      </c>
      <c r="R68" s="75" t="str">
        <f t="shared" si="2"/>
        <v>1.4 – 1.6&amp;06 – 07</v>
      </c>
      <c r="S68" s="208" t="str">
        <f t="shared" si="3"/>
        <v>1.4 – 1.6&amp;0</v>
      </c>
      <c r="T68" s="75" t="s">
        <v>66</v>
      </c>
      <c r="U68" s="75">
        <f>'SETTING PRODUKSI Januari'!AB44</f>
        <v>0</v>
      </c>
      <c r="V68" s="24" t="s">
        <v>68</v>
      </c>
      <c r="W68" s="19"/>
      <c r="X68" s="20">
        <v>0.01</v>
      </c>
      <c r="Y68" s="19"/>
      <c r="Z68" s="20">
        <v>0</v>
      </c>
      <c r="AA68" s="22">
        <v>4.0000000000000001E-3</v>
      </c>
    </row>
    <row r="69" spans="2:27" x14ac:dyDescent="0.25">
      <c r="B69" s="38" t="s">
        <v>254</v>
      </c>
      <c r="C69" s="38" t="s">
        <v>255</v>
      </c>
      <c r="D69" s="99">
        <v>0.9</v>
      </c>
      <c r="G69" s="75" t="str">
        <f t="shared" si="0"/>
        <v>1.4 – 1.6&amp;07 – 08</v>
      </c>
      <c r="H69" s="208" t="str">
        <f t="shared" si="1"/>
        <v>1.4 – 1.6&amp;0</v>
      </c>
      <c r="I69" s="75" t="s">
        <v>66</v>
      </c>
      <c r="J69" s="75">
        <f>'SETTING PRODUKSI Januari'!AB17</f>
        <v>0</v>
      </c>
      <c r="K69" s="18" t="s">
        <v>70</v>
      </c>
      <c r="L69" s="19"/>
      <c r="M69" s="20">
        <v>0.05</v>
      </c>
      <c r="N69" s="19"/>
      <c r="O69" s="20">
        <v>0</v>
      </c>
      <c r="P69" s="22">
        <v>0.01</v>
      </c>
      <c r="R69" s="75" t="str">
        <f t="shared" si="2"/>
        <v>1.4 – 1.6&amp;07 – 08</v>
      </c>
      <c r="S69" s="208" t="str">
        <f t="shared" si="3"/>
        <v>1.4 – 1.6&amp;0</v>
      </c>
      <c r="T69" s="75" t="s">
        <v>66</v>
      </c>
      <c r="U69" s="75">
        <f>'SETTING PRODUKSI Januari'!AB45</f>
        <v>0</v>
      </c>
      <c r="V69" s="18" t="s">
        <v>70</v>
      </c>
      <c r="W69" s="19"/>
      <c r="X69" s="20">
        <v>0.05</v>
      </c>
      <c r="Y69" s="19"/>
      <c r="Z69" s="20">
        <v>0</v>
      </c>
      <c r="AA69" s="22">
        <v>0.01</v>
      </c>
    </row>
    <row r="70" spans="2:27" x14ac:dyDescent="0.25">
      <c r="B70" s="38" t="s">
        <v>256</v>
      </c>
      <c r="C70" s="38" t="s">
        <v>257</v>
      </c>
      <c r="D70" s="99">
        <v>1</v>
      </c>
      <c r="G70" s="75" t="str">
        <f t="shared" si="0"/>
        <v>1.4 – 1.6&amp;08 – 09</v>
      </c>
      <c r="H70" s="208" t="str">
        <f t="shared" si="1"/>
        <v>1.4 – 1.6&amp;0</v>
      </c>
      <c r="I70" s="75" t="s">
        <v>66</v>
      </c>
      <c r="J70" s="75">
        <f>'SETTING PRODUKSI Januari'!AB18</f>
        <v>0</v>
      </c>
      <c r="K70" s="24" t="s">
        <v>72</v>
      </c>
      <c r="L70" s="19"/>
      <c r="M70" s="20">
        <v>0.14000000000000001</v>
      </c>
      <c r="N70" s="19"/>
      <c r="O70" s="20">
        <v>0</v>
      </c>
      <c r="P70" s="22">
        <v>3.5000000000000003E-2</v>
      </c>
      <c r="R70" s="75" t="str">
        <f t="shared" si="2"/>
        <v>1.4 – 1.6&amp;08 – 09</v>
      </c>
      <c r="S70" s="208" t="str">
        <f t="shared" si="3"/>
        <v>1.4 – 1.6&amp;0</v>
      </c>
      <c r="T70" s="75" t="s">
        <v>66</v>
      </c>
      <c r="U70" s="75">
        <f>'SETTING PRODUKSI Januari'!AB46</f>
        <v>0</v>
      </c>
      <c r="V70" s="24" t="s">
        <v>72</v>
      </c>
      <c r="W70" s="19"/>
      <c r="X70" s="20">
        <v>0.14000000000000001</v>
      </c>
      <c r="Y70" s="19"/>
      <c r="Z70" s="20">
        <v>0</v>
      </c>
      <c r="AA70" s="22">
        <v>3.5000000000000003E-2</v>
      </c>
    </row>
    <row r="71" spans="2:27" x14ac:dyDescent="0.25">
      <c r="B71" s="38" t="s">
        <v>258</v>
      </c>
      <c r="C71" s="38" t="s">
        <v>259</v>
      </c>
      <c r="D71" s="99">
        <v>1</v>
      </c>
      <c r="G71" s="75" t="str">
        <f t="shared" ref="G71:G134" si="6">I71&amp;"&amp;"&amp;K71</f>
        <v>1.4 – 1.6&amp;09 – 10</v>
      </c>
      <c r="H71" s="208" t="str">
        <f t="shared" ref="H71:H134" si="7">I71&amp;"&amp;"&amp;J71</f>
        <v>1.4 – 1.6&amp;0</v>
      </c>
      <c r="I71" s="75" t="s">
        <v>66</v>
      </c>
      <c r="J71" s="75">
        <f>'SETTING PRODUKSI Januari'!AB19</f>
        <v>0</v>
      </c>
      <c r="K71" s="18" t="s">
        <v>73</v>
      </c>
      <c r="L71" s="19"/>
      <c r="M71" s="20">
        <v>0.27</v>
      </c>
      <c r="N71" s="19"/>
      <c r="O71" s="20">
        <v>0</v>
      </c>
      <c r="P71" s="22">
        <v>0.14699999999999999</v>
      </c>
      <c r="R71" s="75" t="str">
        <f t="shared" ref="R71:R134" si="8">T71&amp;"&amp;"&amp;V71</f>
        <v>1.4 – 1.6&amp;09 – 10</v>
      </c>
      <c r="S71" s="208" t="str">
        <f t="shared" ref="S71:S134" si="9">T71&amp;"&amp;"&amp;U71</f>
        <v>1.4 – 1.6&amp;0</v>
      </c>
      <c r="T71" s="75" t="s">
        <v>66</v>
      </c>
      <c r="U71" s="75">
        <f>'SETTING PRODUKSI Januari'!AB47</f>
        <v>0</v>
      </c>
      <c r="V71" s="18" t="s">
        <v>73</v>
      </c>
      <c r="W71" s="19"/>
      <c r="X71" s="20">
        <v>0.27</v>
      </c>
      <c r="Y71" s="19"/>
      <c r="Z71" s="20">
        <v>0</v>
      </c>
      <c r="AA71" s="22">
        <v>0.14699999999999999</v>
      </c>
    </row>
    <row r="72" spans="2:27" x14ac:dyDescent="0.25">
      <c r="B72" s="38" t="s">
        <v>366</v>
      </c>
      <c r="C72" s="38" t="s">
        <v>367</v>
      </c>
      <c r="D72" s="38">
        <v>1</v>
      </c>
      <c r="G72" s="75" t="str">
        <f t="shared" si="6"/>
        <v>1.4 – 1.6&amp;10 – 11</v>
      </c>
      <c r="H72" s="208" t="str">
        <f t="shared" si="7"/>
        <v>1.4 – 1.6&amp;1</v>
      </c>
      <c r="I72" s="75" t="s">
        <v>66</v>
      </c>
      <c r="J72" s="75">
        <f>'SETTING PRODUKSI Januari'!AB20</f>
        <v>1</v>
      </c>
      <c r="K72" s="25" t="s">
        <v>74</v>
      </c>
      <c r="L72" s="19"/>
      <c r="M72" s="20">
        <v>0.28999999999999998</v>
      </c>
      <c r="N72" s="19"/>
      <c r="O72" s="20">
        <v>0</v>
      </c>
      <c r="P72" s="22">
        <v>0.27900000000000003</v>
      </c>
      <c r="R72" s="75" t="str">
        <f t="shared" si="8"/>
        <v>1.4 – 1.6&amp;10 – 11</v>
      </c>
      <c r="S72" s="208" t="str">
        <f t="shared" si="9"/>
        <v>1.4 – 1.6&amp;0</v>
      </c>
      <c r="T72" s="75" t="s">
        <v>66</v>
      </c>
      <c r="U72" s="75">
        <f>'SETTING PRODUKSI Januari'!AB48</f>
        <v>0</v>
      </c>
      <c r="V72" s="25" t="s">
        <v>74</v>
      </c>
      <c r="W72" s="19"/>
      <c r="X72" s="20">
        <v>0.28999999999999998</v>
      </c>
      <c r="Y72" s="19"/>
      <c r="Z72" s="20">
        <v>0</v>
      </c>
      <c r="AA72" s="22">
        <v>0.27900000000000003</v>
      </c>
    </row>
    <row r="73" spans="2:27" x14ac:dyDescent="0.25">
      <c r="B73" s="38" t="s">
        <v>519</v>
      </c>
      <c r="C73" s="38" t="s">
        <v>520</v>
      </c>
      <c r="D73" s="38">
        <v>1.3</v>
      </c>
      <c r="G73" s="75" t="str">
        <f t="shared" si="6"/>
        <v>1.4 – 1.6&amp;11 – 12</v>
      </c>
      <c r="H73" s="208" t="str">
        <f t="shared" si="7"/>
        <v>1.4 – 1.6&amp;1</v>
      </c>
      <c r="I73" s="75" t="s">
        <v>66</v>
      </c>
      <c r="J73" s="75">
        <f>'SETTING PRODUKSI Januari'!AB21</f>
        <v>1</v>
      </c>
      <c r="K73" s="26" t="s">
        <v>75</v>
      </c>
      <c r="L73" s="19"/>
      <c r="M73" s="20">
        <v>0.16</v>
      </c>
      <c r="N73" s="19"/>
      <c r="O73" s="20">
        <v>0</v>
      </c>
      <c r="P73" s="22">
        <v>0.32500000000000001</v>
      </c>
      <c r="R73" s="75" t="str">
        <f t="shared" si="8"/>
        <v>1.4 – 1.6&amp;11 – 12</v>
      </c>
      <c r="S73" s="208" t="str">
        <f t="shared" si="9"/>
        <v>1.4 – 1.6&amp;0</v>
      </c>
      <c r="T73" s="75" t="s">
        <v>66</v>
      </c>
      <c r="U73" s="75">
        <f>'SETTING PRODUKSI Januari'!AB49</f>
        <v>0</v>
      </c>
      <c r="V73" s="26" t="s">
        <v>75</v>
      </c>
      <c r="W73" s="19"/>
      <c r="X73" s="20">
        <v>0.16</v>
      </c>
      <c r="Y73" s="19"/>
      <c r="Z73" s="20">
        <v>0</v>
      </c>
      <c r="AA73" s="22">
        <v>0.32500000000000001</v>
      </c>
    </row>
    <row r="74" spans="2:27" x14ac:dyDescent="0.25">
      <c r="B74" s="38" t="s">
        <v>372</v>
      </c>
      <c r="C74" s="38" t="s">
        <v>373</v>
      </c>
      <c r="D74" s="38">
        <v>1.1000000000000001</v>
      </c>
      <c r="G74" s="75" t="str">
        <f t="shared" si="6"/>
        <v>1.4 – 1.6&amp;12 – 13</v>
      </c>
      <c r="H74" s="208" t="str">
        <f t="shared" si="7"/>
        <v>1.4 – 1.6&amp;1</v>
      </c>
      <c r="I74" s="75" t="s">
        <v>66</v>
      </c>
      <c r="J74" s="75">
        <f>'SETTING PRODUKSI Januari'!AB22</f>
        <v>1</v>
      </c>
      <c r="K74" s="25" t="s">
        <v>76</v>
      </c>
      <c r="L74" s="19"/>
      <c r="M74" s="20">
        <v>0.06</v>
      </c>
      <c r="N74" s="19"/>
      <c r="O74" s="20">
        <v>0</v>
      </c>
      <c r="P74" s="22">
        <v>0.158</v>
      </c>
      <c r="R74" s="75" t="str">
        <f t="shared" si="8"/>
        <v>1.4 – 1.6&amp;12 – 13</v>
      </c>
      <c r="S74" s="208" t="str">
        <f t="shared" si="9"/>
        <v>1.4 – 1.6&amp;0</v>
      </c>
      <c r="T74" s="75" t="s">
        <v>66</v>
      </c>
      <c r="U74" s="75">
        <f>'SETTING PRODUKSI Januari'!AB50</f>
        <v>0</v>
      </c>
      <c r="V74" s="25" t="s">
        <v>76</v>
      </c>
      <c r="W74" s="19"/>
      <c r="X74" s="20">
        <v>0.06</v>
      </c>
      <c r="Y74" s="19"/>
      <c r="Z74" s="20">
        <v>0</v>
      </c>
      <c r="AA74" s="22">
        <v>0.158</v>
      </c>
    </row>
    <row r="75" spans="2:27" x14ac:dyDescent="0.25">
      <c r="B75" s="38" t="s">
        <v>521</v>
      </c>
      <c r="C75" s="38" t="s">
        <v>522</v>
      </c>
      <c r="D75" s="38">
        <v>1.4</v>
      </c>
      <c r="G75" s="75" t="str">
        <f t="shared" si="6"/>
        <v>1.4 – 1.6&amp;13 – 14</v>
      </c>
      <c r="H75" s="208" t="str">
        <f t="shared" si="7"/>
        <v>1.4 – 1.6&amp;0</v>
      </c>
      <c r="I75" s="75" t="s">
        <v>66</v>
      </c>
      <c r="J75" s="75">
        <f>'SETTING PRODUKSI Januari'!AB23</f>
        <v>0</v>
      </c>
      <c r="K75" s="18" t="s">
        <v>77</v>
      </c>
      <c r="L75" s="19"/>
      <c r="M75" s="20">
        <v>0.02</v>
      </c>
      <c r="N75" s="19"/>
      <c r="O75" s="20">
        <v>0</v>
      </c>
      <c r="P75" s="22">
        <v>3.1E-2</v>
      </c>
      <c r="R75" s="75" t="str">
        <f t="shared" si="8"/>
        <v>1.4 – 1.6&amp;13 – 14</v>
      </c>
      <c r="S75" s="208" t="str">
        <f t="shared" si="9"/>
        <v>1.4 – 1.6&amp;0</v>
      </c>
      <c r="T75" s="75" t="s">
        <v>66</v>
      </c>
      <c r="U75" s="75">
        <f>'SETTING PRODUKSI Januari'!AB51</f>
        <v>0</v>
      </c>
      <c r="V75" s="18" t="s">
        <v>77</v>
      </c>
      <c r="W75" s="19"/>
      <c r="X75" s="20">
        <v>0.02</v>
      </c>
      <c r="Y75" s="19"/>
      <c r="Z75" s="20">
        <v>0</v>
      </c>
      <c r="AA75" s="22">
        <v>3.1E-2</v>
      </c>
    </row>
    <row r="76" spans="2:27" x14ac:dyDescent="0.25">
      <c r="B76" s="38" t="s">
        <v>374</v>
      </c>
      <c r="C76" s="38" t="s">
        <v>375</v>
      </c>
      <c r="D76" s="38">
        <v>1.3</v>
      </c>
      <c r="G76" s="75" t="str">
        <f t="shared" si="6"/>
        <v>1.4 – 1.6&amp;14 – 15</v>
      </c>
      <c r="H76" s="208" t="str">
        <f t="shared" si="7"/>
        <v>1.4 – 1.6&amp;0</v>
      </c>
      <c r="I76" s="75" t="s">
        <v>66</v>
      </c>
      <c r="J76" s="75">
        <f>'SETTING PRODUKSI Januari'!AB24</f>
        <v>0</v>
      </c>
      <c r="K76" s="24" t="s">
        <v>78</v>
      </c>
      <c r="L76" s="19"/>
      <c r="M76" s="20">
        <v>0</v>
      </c>
      <c r="N76" s="19"/>
      <c r="O76" s="20">
        <v>0</v>
      </c>
      <c r="P76" s="22">
        <v>1.0999999999999999E-2</v>
      </c>
      <c r="R76" s="75" t="str">
        <f t="shared" si="8"/>
        <v>1.4 – 1.6&amp;14 – 15</v>
      </c>
      <c r="S76" s="208" t="str">
        <f t="shared" si="9"/>
        <v>1.4 – 1.6&amp;0</v>
      </c>
      <c r="T76" s="75" t="s">
        <v>66</v>
      </c>
      <c r="U76" s="75">
        <f>'SETTING PRODUKSI Januari'!AB52</f>
        <v>0</v>
      </c>
      <c r="V76" s="24" t="s">
        <v>78</v>
      </c>
      <c r="W76" s="19"/>
      <c r="X76" s="20">
        <v>0</v>
      </c>
      <c r="Y76" s="19"/>
      <c r="Z76" s="20">
        <v>0</v>
      </c>
      <c r="AA76" s="22">
        <v>1.0999999999999999E-2</v>
      </c>
    </row>
    <row r="77" spans="2:27" x14ac:dyDescent="0.25">
      <c r="B77" s="38" t="s">
        <v>376</v>
      </c>
      <c r="C77" s="38" t="s">
        <v>377</v>
      </c>
      <c r="D77" s="38">
        <v>1.2</v>
      </c>
      <c r="G77" s="75" t="str">
        <f t="shared" si="6"/>
        <v>1.4 – 1.6&amp;15 – 16</v>
      </c>
      <c r="H77" s="208" t="str">
        <f t="shared" si="7"/>
        <v>1.4 – 1.6&amp;0</v>
      </c>
      <c r="I77" s="75" t="s">
        <v>66</v>
      </c>
      <c r="J77" s="75">
        <f>'SETTING PRODUKSI Januari'!AB25</f>
        <v>0</v>
      </c>
      <c r="K77" s="18" t="s">
        <v>79</v>
      </c>
      <c r="L77" s="19"/>
      <c r="M77" s="20">
        <v>0</v>
      </c>
      <c r="N77" s="19"/>
      <c r="O77" s="20">
        <v>0</v>
      </c>
      <c r="P77" s="22">
        <v>0</v>
      </c>
      <c r="R77" s="75" t="str">
        <f t="shared" si="8"/>
        <v>1.4 – 1.6&amp;15 – 16</v>
      </c>
      <c r="S77" s="208" t="str">
        <f t="shared" si="9"/>
        <v>1.4 – 1.6&amp;0</v>
      </c>
      <c r="T77" s="75" t="s">
        <v>66</v>
      </c>
      <c r="U77" s="75">
        <f>'SETTING PRODUKSI Januari'!AB53</f>
        <v>0</v>
      </c>
      <c r="V77" s="18" t="s">
        <v>79</v>
      </c>
      <c r="W77" s="19"/>
      <c r="X77" s="20">
        <v>0</v>
      </c>
      <c r="Y77" s="19"/>
      <c r="Z77" s="20">
        <v>0</v>
      </c>
      <c r="AA77" s="22">
        <v>0</v>
      </c>
    </row>
    <row r="78" spans="2:27" x14ac:dyDescent="0.25">
      <c r="B78" s="38" t="s">
        <v>378</v>
      </c>
      <c r="C78" s="38" t="s">
        <v>379</v>
      </c>
      <c r="D78" s="38">
        <v>1.3</v>
      </c>
      <c r="G78" s="75" t="str">
        <f t="shared" si="6"/>
        <v>1.4 – 1.6&amp;16 - 17</v>
      </c>
      <c r="H78" s="208" t="str">
        <f t="shared" si="7"/>
        <v>1.4 – 1.6&amp;0</v>
      </c>
      <c r="I78" s="75" t="s">
        <v>66</v>
      </c>
      <c r="J78" s="75">
        <f>'SETTING PRODUKSI Januari'!AB26</f>
        <v>0</v>
      </c>
      <c r="K78" s="24" t="s">
        <v>339</v>
      </c>
      <c r="L78" s="19"/>
      <c r="M78" s="20">
        <v>0</v>
      </c>
      <c r="N78" s="19"/>
      <c r="O78" s="20">
        <v>0</v>
      </c>
      <c r="P78" s="22">
        <v>0</v>
      </c>
      <c r="R78" s="75" t="str">
        <f t="shared" si="8"/>
        <v>1.4 – 1.6&amp;16 - 17</v>
      </c>
      <c r="S78" s="208" t="str">
        <f t="shared" si="9"/>
        <v>1.4 – 1.6&amp;0</v>
      </c>
      <c r="T78" s="75" t="s">
        <v>66</v>
      </c>
      <c r="U78" s="75">
        <f>'SETTING PRODUKSI Januari'!AB54</f>
        <v>0</v>
      </c>
      <c r="V78" s="24" t="s">
        <v>339</v>
      </c>
      <c r="W78" s="19"/>
      <c r="X78" s="20">
        <v>0</v>
      </c>
      <c r="Y78" s="19"/>
      <c r="Z78" s="20">
        <v>0</v>
      </c>
      <c r="AA78" s="22">
        <v>0</v>
      </c>
    </row>
    <row r="79" spans="2:27" x14ac:dyDescent="0.25">
      <c r="B79" s="38" t="s">
        <v>523</v>
      </c>
      <c r="C79" s="38" t="s">
        <v>524</v>
      </c>
      <c r="D79" s="38">
        <v>1.2</v>
      </c>
      <c r="G79" s="75" t="str">
        <f t="shared" si="6"/>
        <v>&amp;Total</v>
      </c>
      <c r="H79" s="208" t="str">
        <f t="shared" si="7"/>
        <v>&amp;</v>
      </c>
      <c r="K79" s="28" t="s">
        <v>80</v>
      </c>
      <c r="L79" s="29"/>
      <c r="M79" s="33">
        <f>SUM(M65:M78)</f>
        <v>1</v>
      </c>
      <c r="N79" s="29">
        <v>0</v>
      </c>
      <c r="O79" s="33">
        <v>0</v>
      </c>
      <c r="P79" s="33">
        <v>1</v>
      </c>
      <c r="R79" s="75" t="str">
        <f t="shared" si="8"/>
        <v>&amp;Total</v>
      </c>
      <c r="S79" s="208" t="str">
        <f t="shared" si="9"/>
        <v>&amp;</v>
      </c>
      <c r="V79" s="28" t="s">
        <v>80</v>
      </c>
      <c r="W79" s="29"/>
      <c r="X79" s="33">
        <f>SUM(X65:X78)</f>
        <v>1</v>
      </c>
      <c r="Y79" s="29">
        <v>0</v>
      </c>
      <c r="Z79" s="33">
        <v>0</v>
      </c>
      <c r="AA79" s="33">
        <v>1</v>
      </c>
    </row>
    <row r="80" spans="2:27" x14ac:dyDescent="0.25">
      <c r="B80" s="38" t="s">
        <v>525</v>
      </c>
      <c r="C80" s="38" t="s">
        <v>526</v>
      </c>
      <c r="D80" s="38">
        <v>1</v>
      </c>
      <c r="G80" s="75" t="str">
        <f t="shared" si="6"/>
        <v>&amp;</v>
      </c>
      <c r="H80" s="208" t="str">
        <f t="shared" si="7"/>
        <v>&amp;</v>
      </c>
      <c r="R80" s="75" t="str">
        <f t="shared" si="8"/>
        <v>&amp;</v>
      </c>
      <c r="S80" s="208" t="str">
        <f t="shared" si="9"/>
        <v>&amp;</v>
      </c>
    </row>
    <row r="81" spans="2:27" x14ac:dyDescent="0.25">
      <c r="B81" s="38" t="s">
        <v>382</v>
      </c>
      <c r="C81" s="38" t="s">
        <v>383</v>
      </c>
      <c r="D81" s="38">
        <v>1.1000000000000001</v>
      </c>
      <c r="G81" s="75" t="str">
        <f t="shared" si="6"/>
        <v xml:space="preserve">&amp;BW LB </v>
      </c>
      <c r="H81" s="208" t="str">
        <f t="shared" si="7"/>
        <v>&amp;</v>
      </c>
      <c r="K81" s="12" t="s">
        <v>56</v>
      </c>
      <c r="L81" s="13"/>
      <c r="M81" s="12"/>
      <c r="N81" s="13"/>
      <c r="O81" s="14" t="s">
        <v>352</v>
      </c>
      <c r="P81" s="11"/>
      <c r="R81" s="75" t="str">
        <f t="shared" si="8"/>
        <v xml:space="preserve">&amp;BW LB </v>
      </c>
      <c r="S81" s="208" t="str">
        <f t="shared" si="9"/>
        <v>&amp;</v>
      </c>
      <c r="V81" s="12" t="s">
        <v>56</v>
      </c>
      <c r="W81" s="13"/>
      <c r="X81" s="12"/>
      <c r="Y81" s="13"/>
      <c r="Z81" s="14" t="s">
        <v>352</v>
      </c>
      <c r="AA81" s="11"/>
    </row>
    <row r="82" spans="2:27" x14ac:dyDescent="0.25">
      <c r="B82" s="38" t="s">
        <v>386</v>
      </c>
      <c r="C82" s="38" t="s">
        <v>387</v>
      </c>
      <c r="D82" s="38">
        <v>0.9</v>
      </c>
      <c r="G82" s="75" t="str">
        <f t="shared" si="6"/>
        <v>&amp;UKURAN AU</v>
      </c>
      <c r="H82" s="208" t="str">
        <f t="shared" si="7"/>
        <v>&amp;</v>
      </c>
      <c r="K82" s="15" t="s">
        <v>57</v>
      </c>
      <c r="L82" s="16"/>
      <c r="M82" s="17" t="s">
        <v>59</v>
      </c>
      <c r="N82" s="16"/>
      <c r="O82" s="17" t="s">
        <v>60</v>
      </c>
      <c r="P82" s="17" t="s">
        <v>61</v>
      </c>
      <c r="R82" s="75" t="str">
        <f t="shared" si="8"/>
        <v>&amp;UKURAN AU</v>
      </c>
      <c r="S82" s="208" t="str">
        <f t="shared" si="9"/>
        <v>&amp;</v>
      </c>
      <c r="V82" s="15" t="s">
        <v>57</v>
      </c>
      <c r="W82" s="16"/>
      <c r="X82" s="17" t="s">
        <v>59</v>
      </c>
      <c r="Y82" s="16"/>
      <c r="Z82" s="17" t="s">
        <v>60</v>
      </c>
      <c r="AA82" s="17" t="s">
        <v>61</v>
      </c>
    </row>
    <row r="83" spans="2:27" x14ac:dyDescent="0.25">
      <c r="B83" s="38" t="s">
        <v>388</v>
      </c>
      <c r="C83" s="38" t="s">
        <v>389</v>
      </c>
      <c r="D83" s="38">
        <v>1.2</v>
      </c>
      <c r="G83" s="75" t="str">
        <f t="shared" si="6"/>
        <v>1.5 - 1.7&amp;UNDER 04</v>
      </c>
      <c r="H83" s="208" t="str">
        <f t="shared" si="7"/>
        <v>1.5 - 1.7&amp;0</v>
      </c>
      <c r="I83" s="75" t="s">
        <v>352</v>
      </c>
      <c r="J83" s="75">
        <f>'SETTING PRODUKSI Januari'!AE13</f>
        <v>0</v>
      </c>
      <c r="K83" s="18" t="s">
        <v>63</v>
      </c>
      <c r="L83" s="19">
        <v>0</v>
      </c>
      <c r="M83" s="20">
        <v>0</v>
      </c>
      <c r="N83" s="19"/>
      <c r="O83" s="20">
        <v>0</v>
      </c>
      <c r="P83" s="22">
        <v>0</v>
      </c>
      <c r="R83" s="75" t="str">
        <f t="shared" si="8"/>
        <v>1.5 - 1.7&amp;UNDER 04</v>
      </c>
      <c r="S83" s="208" t="str">
        <f t="shared" si="9"/>
        <v>1.5 - 1.7&amp;0</v>
      </c>
      <c r="T83" s="75" t="s">
        <v>352</v>
      </c>
      <c r="U83" s="75">
        <f>'SETTING PRODUKSI Januari'!AE41</f>
        <v>0</v>
      </c>
      <c r="V83" s="18" t="s">
        <v>63</v>
      </c>
      <c r="W83" s="19">
        <v>0</v>
      </c>
      <c r="X83" s="20">
        <v>0</v>
      </c>
      <c r="Y83" s="19"/>
      <c r="Z83" s="20">
        <v>0</v>
      </c>
      <c r="AA83" s="22">
        <v>0</v>
      </c>
    </row>
    <row r="84" spans="2:27" x14ac:dyDescent="0.25">
      <c r="B84" s="38" t="s">
        <v>390</v>
      </c>
      <c r="C84" s="38" t="s">
        <v>391</v>
      </c>
      <c r="D84" s="38">
        <v>0.9</v>
      </c>
      <c r="G84" s="75" t="str">
        <f t="shared" si="6"/>
        <v>1.5 - 1.7&amp;04 – 05</v>
      </c>
      <c r="H84" s="208" t="str">
        <f t="shared" si="7"/>
        <v>1.5 - 1.7&amp;0</v>
      </c>
      <c r="I84" s="75" t="s">
        <v>352</v>
      </c>
      <c r="J84" s="75">
        <f>'SETTING PRODUKSI Januari'!AE14</f>
        <v>0</v>
      </c>
      <c r="K84" s="24" t="s">
        <v>65</v>
      </c>
      <c r="L84" s="19">
        <v>0</v>
      </c>
      <c r="M84" s="20">
        <v>0</v>
      </c>
      <c r="N84" s="19"/>
      <c r="O84" s="20">
        <v>0</v>
      </c>
      <c r="P84" s="22">
        <v>0</v>
      </c>
      <c r="R84" s="75" t="str">
        <f t="shared" si="8"/>
        <v>1.5 - 1.7&amp;04 – 05</v>
      </c>
      <c r="S84" s="208" t="str">
        <f t="shared" si="9"/>
        <v>1.5 - 1.7&amp;0</v>
      </c>
      <c r="T84" s="75" t="s">
        <v>352</v>
      </c>
      <c r="U84" s="75">
        <f>'SETTING PRODUKSI Januari'!AE42</f>
        <v>0</v>
      </c>
      <c r="V84" s="24" t="s">
        <v>65</v>
      </c>
      <c r="W84" s="19">
        <v>0</v>
      </c>
      <c r="X84" s="20">
        <v>0</v>
      </c>
      <c r="Y84" s="19"/>
      <c r="Z84" s="20">
        <v>0</v>
      </c>
      <c r="AA84" s="22">
        <v>0</v>
      </c>
    </row>
    <row r="85" spans="2:27" x14ac:dyDescent="0.25">
      <c r="B85" s="38" t="s">
        <v>392</v>
      </c>
      <c r="C85" s="38" t="s">
        <v>393</v>
      </c>
      <c r="D85" s="38">
        <v>1.2</v>
      </c>
      <c r="G85" s="75" t="str">
        <f t="shared" si="6"/>
        <v>1.5 - 1.7&amp;05 – 06</v>
      </c>
      <c r="H85" s="208" t="str">
        <f t="shared" si="7"/>
        <v>1.5 - 1.7&amp;0</v>
      </c>
      <c r="I85" s="75" t="s">
        <v>352</v>
      </c>
      <c r="J85" s="75">
        <f>'SETTING PRODUKSI Januari'!AE15</f>
        <v>0</v>
      </c>
      <c r="K85" s="18" t="s">
        <v>67</v>
      </c>
      <c r="L85" s="19">
        <v>0</v>
      </c>
      <c r="M85" s="20">
        <v>0</v>
      </c>
      <c r="N85" s="19"/>
      <c r="O85" s="20">
        <v>0</v>
      </c>
      <c r="P85" s="22">
        <v>0</v>
      </c>
      <c r="R85" s="75" t="str">
        <f t="shared" si="8"/>
        <v>1.5 - 1.7&amp;05 – 06</v>
      </c>
      <c r="S85" s="208" t="str">
        <f t="shared" si="9"/>
        <v>1.5 - 1.7&amp;0</v>
      </c>
      <c r="T85" s="75" t="s">
        <v>352</v>
      </c>
      <c r="U85" s="75">
        <f>'SETTING PRODUKSI Januari'!AE43</f>
        <v>0</v>
      </c>
      <c r="V85" s="18" t="s">
        <v>67</v>
      </c>
      <c r="W85" s="19">
        <v>0</v>
      </c>
      <c r="X85" s="20">
        <v>0</v>
      </c>
      <c r="Y85" s="19"/>
      <c r="Z85" s="20">
        <v>0</v>
      </c>
      <c r="AA85" s="22">
        <v>0</v>
      </c>
    </row>
    <row r="86" spans="2:27" x14ac:dyDescent="0.25">
      <c r="B86" s="38" t="s">
        <v>394</v>
      </c>
      <c r="C86" s="38" t="s">
        <v>395</v>
      </c>
      <c r="D86" s="38">
        <v>1.1000000000000001</v>
      </c>
      <c r="G86" s="75" t="str">
        <f t="shared" si="6"/>
        <v>1.5 - 1.7&amp;06 – 07</v>
      </c>
      <c r="H86" s="208" t="str">
        <f t="shared" si="7"/>
        <v>1.5 - 1.7&amp;0</v>
      </c>
      <c r="I86" s="75" t="s">
        <v>352</v>
      </c>
      <c r="J86" s="75">
        <f>'SETTING PRODUKSI Januari'!AE16</f>
        <v>0</v>
      </c>
      <c r="K86" s="24" t="s">
        <v>68</v>
      </c>
      <c r="L86" s="19">
        <v>0</v>
      </c>
      <c r="M86" s="20">
        <v>0</v>
      </c>
      <c r="N86" s="19"/>
      <c r="O86" s="20">
        <v>0</v>
      </c>
      <c r="P86" s="22">
        <v>0</v>
      </c>
      <c r="R86" s="75" t="str">
        <f t="shared" si="8"/>
        <v>1.5 - 1.7&amp;06 – 07</v>
      </c>
      <c r="S86" s="208" t="str">
        <f t="shared" si="9"/>
        <v>1.5 - 1.7&amp;0</v>
      </c>
      <c r="T86" s="75" t="s">
        <v>352</v>
      </c>
      <c r="U86" s="75">
        <f>'SETTING PRODUKSI Januari'!AE44</f>
        <v>0</v>
      </c>
      <c r="V86" s="24" t="s">
        <v>68</v>
      </c>
      <c r="W86" s="19">
        <v>0</v>
      </c>
      <c r="X86" s="20">
        <v>0</v>
      </c>
      <c r="Y86" s="19"/>
      <c r="Z86" s="20">
        <v>0</v>
      </c>
      <c r="AA86" s="22">
        <v>0</v>
      </c>
    </row>
    <row r="87" spans="2:27" x14ac:dyDescent="0.25">
      <c r="B87" s="38" t="s">
        <v>396</v>
      </c>
      <c r="C87" s="38" t="s">
        <v>397</v>
      </c>
      <c r="D87" s="38">
        <v>1.1000000000000001</v>
      </c>
      <c r="G87" s="75" t="str">
        <f t="shared" si="6"/>
        <v>1.5 - 1.7&amp;07 – 08</v>
      </c>
      <c r="H87" s="208" t="str">
        <f t="shared" si="7"/>
        <v>1.5 - 1.7&amp;0</v>
      </c>
      <c r="I87" s="75" t="s">
        <v>352</v>
      </c>
      <c r="J87" s="75">
        <f>'SETTING PRODUKSI Januari'!AE17</f>
        <v>0</v>
      </c>
      <c r="K87" s="18" t="s">
        <v>70</v>
      </c>
      <c r="L87" s="19">
        <v>0</v>
      </c>
      <c r="M87" s="20">
        <v>0.01</v>
      </c>
      <c r="N87" s="19"/>
      <c r="O87" s="20">
        <v>0</v>
      </c>
      <c r="P87" s="22">
        <v>0</v>
      </c>
      <c r="R87" s="75" t="str">
        <f t="shared" si="8"/>
        <v>1.5 - 1.7&amp;07 – 08</v>
      </c>
      <c r="S87" s="208" t="str">
        <f t="shared" si="9"/>
        <v>1.5 - 1.7&amp;0</v>
      </c>
      <c r="T87" s="75" t="s">
        <v>352</v>
      </c>
      <c r="U87" s="75">
        <f>'SETTING PRODUKSI Januari'!AE45</f>
        <v>0</v>
      </c>
      <c r="V87" s="18" t="s">
        <v>70</v>
      </c>
      <c r="W87" s="19">
        <v>0</v>
      </c>
      <c r="X87" s="20">
        <v>0.01</v>
      </c>
      <c r="Y87" s="19"/>
      <c r="Z87" s="20">
        <v>0</v>
      </c>
      <c r="AA87" s="22">
        <v>0</v>
      </c>
    </row>
    <row r="88" spans="2:27" x14ac:dyDescent="0.25">
      <c r="B88" s="38" t="s">
        <v>398</v>
      </c>
      <c r="C88" s="38" t="s">
        <v>399</v>
      </c>
      <c r="D88" s="38">
        <v>1.1000000000000001</v>
      </c>
      <c r="G88" s="75" t="str">
        <f t="shared" si="6"/>
        <v>1.5 - 1.7&amp;08 – 09</v>
      </c>
      <c r="H88" s="208" t="str">
        <f t="shared" si="7"/>
        <v>1.5 - 1.7&amp;0</v>
      </c>
      <c r="I88" s="75" t="s">
        <v>352</v>
      </c>
      <c r="J88" s="75">
        <f>'SETTING PRODUKSI Januari'!AE18</f>
        <v>0</v>
      </c>
      <c r="K88" s="24" t="s">
        <v>72</v>
      </c>
      <c r="L88" s="19">
        <v>9</v>
      </c>
      <c r="M88" s="20">
        <v>0.01</v>
      </c>
      <c r="N88" s="19"/>
      <c r="O88" s="20">
        <v>0</v>
      </c>
      <c r="P88" s="22">
        <v>3.4615384615384616E-3</v>
      </c>
      <c r="R88" s="75" t="str">
        <f t="shared" si="8"/>
        <v>1.5 - 1.7&amp;08 – 09</v>
      </c>
      <c r="S88" s="208" t="str">
        <f t="shared" si="9"/>
        <v>1.5 - 1.7&amp;0</v>
      </c>
      <c r="T88" s="75" t="s">
        <v>352</v>
      </c>
      <c r="U88" s="75">
        <f>'SETTING PRODUKSI Januari'!AE46</f>
        <v>0</v>
      </c>
      <c r="V88" s="24" t="s">
        <v>72</v>
      </c>
      <c r="W88" s="19">
        <v>9</v>
      </c>
      <c r="X88" s="20">
        <v>0.01</v>
      </c>
      <c r="Y88" s="19"/>
      <c r="Z88" s="20">
        <v>0</v>
      </c>
      <c r="AA88" s="22">
        <v>3.4615384615384616E-3</v>
      </c>
    </row>
    <row r="89" spans="2:27" x14ac:dyDescent="0.25">
      <c r="B89" s="38" t="s">
        <v>400</v>
      </c>
      <c r="C89" s="38" t="s">
        <v>401</v>
      </c>
      <c r="D89" s="38">
        <v>1.1000000000000001</v>
      </c>
      <c r="G89" s="75" t="str">
        <f t="shared" si="6"/>
        <v>1.5 - 1.7&amp;09 – 10</v>
      </c>
      <c r="H89" s="208" t="str">
        <f t="shared" si="7"/>
        <v>1.5 - 1.7&amp;0</v>
      </c>
      <c r="I89" s="75" t="s">
        <v>352</v>
      </c>
      <c r="J89" s="75">
        <f>'SETTING PRODUKSI Januari'!AE19</f>
        <v>0</v>
      </c>
      <c r="K89" s="18" t="s">
        <v>73</v>
      </c>
      <c r="L89" s="19">
        <v>94</v>
      </c>
      <c r="M89" s="20">
        <v>7.0000000000000007E-2</v>
      </c>
      <c r="N89" s="19"/>
      <c r="O89" s="20">
        <v>0</v>
      </c>
      <c r="P89" s="22">
        <v>3.6153846153846154E-2</v>
      </c>
      <c r="R89" s="75" t="str">
        <f t="shared" si="8"/>
        <v>1.5 - 1.7&amp;09 – 10</v>
      </c>
      <c r="S89" s="208" t="str">
        <f t="shared" si="9"/>
        <v>1.5 - 1.7&amp;0</v>
      </c>
      <c r="T89" s="75" t="s">
        <v>352</v>
      </c>
      <c r="U89" s="75">
        <f>'SETTING PRODUKSI Januari'!AE47</f>
        <v>0</v>
      </c>
      <c r="V89" s="18" t="s">
        <v>73</v>
      </c>
      <c r="W89" s="19">
        <v>94</v>
      </c>
      <c r="X89" s="20">
        <v>7.0000000000000007E-2</v>
      </c>
      <c r="Y89" s="19"/>
      <c r="Z89" s="20">
        <v>0</v>
      </c>
      <c r="AA89" s="22">
        <v>3.6153846153846154E-2</v>
      </c>
    </row>
    <row r="90" spans="2:27" x14ac:dyDescent="0.25">
      <c r="B90" s="38" t="s">
        <v>402</v>
      </c>
      <c r="C90" s="38" t="s">
        <v>403</v>
      </c>
      <c r="D90" s="38">
        <v>0.9</v>
      </c>
      <c r="G90" s="75" t="str">
        <f t="shared" si="6"/>
        <v>1.5 - 1.7&amp;10 – 11</v>
      </c>
      <c r="H90" s="208" t="str">
        <f t="shared" si="7"/>
        <v>1.5 - 1.7&amp;1</v>
      </c>
      <c r="I90" s="75" t="s">
        <v>352</v>
      </c>
      <c r="J90" s="75">
        <f>'SETTING PRODUKSI Januari'!AE20</f>
        <v>1</v>
      </c>
      <c r="K90" s="25" t="s">
        <v>74</v>
      </c>
      <c r="L90" s="19">
        <v>429</v>
      </c>
      <c r="M90" s="20">
        <v>0.16</v>
      </c>
      <c r="N90" s="19"/>
      <c r="O90" s="20">
        <v>0</v>
      </c>
      <c r="P90" s="22">
        <v>0.16500000000000001</v>
      </c>
      <c r="R90" s="75" t="str">
        <f t="shared" si="8"/>
        <v>1.5 - 1.7&amp;10 – 11</v>
      </c>
      <c r="S90" s="208" t="str">
        <f t="shared" si="9"/>
        <v>1.5 - 1.7&amp;0</v>
      </c>
      <c r="T90" s="75" t="s">
        <v>352</v>
      </c>
      <c r="U90" s="75">
        <f>'SETTING PRODUKSI Januari'!AE48</f>
        <v>0</v>
      </c>
      <c r="V90" s="25" t="s">
        <v>74</v>
      </c>
      <c r="W90" s="19">
        <v>429</v>
      </c>
      <c r="X90" s="20">
        <v>0.16</v>
      </c>
      <c r="Y90" s="19"/>
      <c r="Z90" s="20">
        <v>0</v>
      </c>
      <c r="AA90" s="22">
        <v>0.16500000000000001</v>
      </c>
    </row>
    <row r="91" spans="2:27" x14ac:dyDescent="0.25">
      <c r="B91" s="38" t="s">
        <v>527</v>
      </c>
      <c r="C91" s="38" t="s">
        <v>528</v>
      </c>
      <c r="D91" s="38">
        <v>0.9</v>
      </c>
      <c r="G91" s="75" t="str">
        <f t="shared" si="6"/>
        <v>1.5 - 1.7&amp;11 – 12</v>
      </c>
      <c r="H91" s="208" t="str">
        <f t="shared" si="7"/>
        <v>1.5 - 1.7&amp;1</v>
      </c>
      <c r="I91" s="75" t="s">
        <v>352</v>
      </c>
      <c r="J91" s="75">
        <f>'SETTING PRODUKSI Januari'!AE21</f>
        <v>1</v>
      </c>
      <c r="K91" s="26" t="s">
        <v>75</v>
      </c>
      <c r="L91" s="19">
        <v>965</v>
      </c>
      <c r="M91" s="20">
        <v>0.28000000000000003</v>
      </c>
      <c r="N91" s="19"/>
      <c r="O91" s="20">
        <v>0</v>
      </c>
      <c r="P91" s="22">
        <v>0.37115384615384617</v>
      </c>
      <c r="R91" s="75" t="str">
        <f t="shared" si="8"/>
        <v>1.5 - 1.7&amp;11 – 12</v>
      </c>
      <c r="S91" s="208" t="str">
        <f t="shared" si="9"/>
        <v>1.5 - 1.7&amp;0</v>
      </c>
      <c r="T91" s="75" t="s">
        <v>352</v>
      </c>
      <c r="U91" s="75">
        <f>'SETTING PRODUKSI Januari'!AE49</f>
        <v>0</v>
      </c>
      <c r="V91" s="26" t="s">
        <v>75</v>
      </c>
      <c r="W91" s="19">
        <v>965</v>
      </c>
      <c r="X91" s="20">
        <v>0.28000000000000003</v>
      </c>
      <c r="Y91" s="19"/>
      <c r="Z91" s="20">
        <v>0</v>
      </c>
      <c r="AA91" s="22">
        <v>0.37115384615384617</v>
      </c>
    </row>
    <row r="92" spans="2:27" x14ac:dyDescent="0.25">
      <c r="B92" s="38" t="s">
        <v>404</v>
      </c>
      <c r="C92" s="38" t="s">
        <v>405</v>
      </c>
      <c r="D92" s="38">
        <v>1.2</v>
      </c>
      <c r="G92" s="75" t="str">
        <f t="shared" si="6"/>
        <v>1.5 - 1.7&amp;12 – 13</v>
      </c>
      <c r="H92" s="208" t="str">
        <f t="shared" si="7"/>
        <v>1.5 - 1.7&amp;1</v>
      </c>
      <c r="I92" s="75" t="s">
        <v>352</v>
      </c>
      <c r="J92" s="75">
        <f>'SETTING PRODUKSI Januari'!AE22</f>
        <v>1</v>
      </c>
      <c r="K92" s="25" t="s">
        <v>76</v>
      </c>
      <c r="L92" s="19">
        <v>750</v>
      </c>
      <c r="M92" s="20">
        <v>0.28000000000000003</v>
      </c>
      <c r="N92" s="19"/>
      <c r="O92" s="20">
        <v>0</v>
      </c>
      <c r="P92" s="22">
        <v>0.28846153846153844</v>
      </c>
      <c r="R92" s="75" t="str">
        <f t="shared" si="8"/>
        <v>1.5 - 1.7&amp;12 – 13</v>
      </c>
      <c r="S92" s="208" t="str">
        <f t="shared" si="9"/>
        <v>1.5 - 1.7&amp;0</v>
      </c>
      <c r="T92" s="75" t="s">
        <v>352</v>
      </c>
      <c r="U92" s="75">
        <f>'SETTING PRODUKSI Januari'!AE50</f>
        <v>0</v>
      </c>
      <c r="V92" s="25" t="s">
        <v>76</v>
      </c>
      <c r="W92" s="19">
        <v>750</v>
      </c>
      <c r="X92" s="20">
        <v>0.28000000000000003</v>
      </c>
      <c r="Y92" s="19"/>
      <c r="Z92" s="20">
        <v>0</v>
      </c>
      <c r="AA92" s="22">
        <v>0.28846153846153844</v>
      </c>
    </row>
    <row r="93" spans="2:27" x14ac:dyDescent="0.25">
      <c r="B93" s="38" t="s">
        <v>28</v>
      </c>
      <c r="C93" s="38" t="s">
        <v>29</v>
      </c>
      <c r="D93" s="38">
        <v>0.9</v>
      </c>
      <c r="G93" s="75" t="str">
        <f t="shared" si="6"/>
        <v>1.5 - 1.7&amp;13 – 14</v>
      </c>
      <c r="H93" s="208" t="str">
        <f t="shared" si="7"/>
        <v>1.5 - 1.7&amp;0</v>
      </c>
      <c r="I93" s="75" t="s">
        <v>352</v>
      </c>
      <c r="J93" s="75">
        <f>'SETTING PRODUKSI Januari'!AE23</f>
        <v>0</v>
      </c>
      <c r="K93" s="18" t="s">
        <v>77</v>
      </c>
      <c r="L93" s="19">
        <v>282</v>
      </c>
      <c r="M93" s="20">
        <v>0.14000000000000001</v>
      </c>
      <c r="N93" s="19"/>
      <c r="O93" s="20">
        <v>0</v>
      </c>
      <c r="P93" s="22">
        <v>0.10846153846153846</v>
      </c>
      <c r="R93" s="75" t="str">
        <f t="shared" si="8"/>
        <v>1.5 - 1.7&amp;13 – 14</v>
      </c>
      <c r="S93" s="208" t="str">
        <f t="shared" si="9"/>
        <v>1.5 - 1.7&amp;0</v>
      </c>
      <c r="T93" s="75" t="s">
        <v>352</v>
      </c>
      <c r="U93" s="75">
        <f>'SETTING PRODUKSI Januari'!AE51</f>
        <v>0</v>
      </c>
      <c r="V93" s="18" t="s">
        <v>77</v>
      </c>
      <c r="W93" s="19">
        <v>282</v>
      </c>
      <c r="X93" s="20">
        <v>0.14000000000000001</v>
      </c>
      <c r="Y93" s="19"/>
      <c r="Z93" s="20">
        <v>0</v>
      </c>
      <c r="AA93" s="22">
        <v>0.10846153846153846</v>
      </c>
    </row>
    <row r="94" spans="2:27" x14ac:dyDescent="0.25">
      <c r="B94" t="s">
        <v>368</v>
      </c>
      <c r="C94" t="s">
        <v>369</v>
      </c>
      <c r="D94" s="214">
        <v>0.9</v>
      </c>
      <c r="G94" s="75" t="str">
        <f t="shared" si="6"/>
        <v>1.5 - 1.7&amp;14 – 15</v>
      </c>
      <c r="H94" s="208" t="str">
        <f t="shared" si="7"/>
        <v>1.5 - 1.7&amp;0</v>
      </c>
      <c r="I94" s="75" t="s">
        <v>352</v>
      </c>
      <c r="J94" s="75">
        <f>'SETTING PRODUKSI Januari'!AE24</f>
        <v>0</v>
      </c>
      <c r="K94" s="24" t="s">
        <v>78</v>
      </c>
      <c r="L94" s="19">
        <v>71</v>
      </c>
      <c r="M94" s="20">
        <v>0.04</v>
      </c>
      <c r="N94" s="19"/>
      <c r="O94" s="20">
        <v>0</v>
      </c>
      <c r="P94" s="22">
        <v>2.7307692307692307E-2</v>
      </c>
      <c r="R94" s="75" t="str">
        <f t="shared" si="8"/>
        <v>1.5 - 1.7&amp;14 – 15</v>
      </c>
      <c r="S94" s="208" t="str">
        <f t="shared" si="9"/>
        <v>1.5 - 1.7&amp;0</v>
      </c>
      <c r="T94" s="75" t="s">
        <v>352</v>
      </c>
      <c r="U94" s="75">
        <f>'SETTING PRODUKSI Januari'!AE52</f>
        <v>0</v>
      </c>
      <c r="V94" s="24" t="s">
        <v>78</v>
      </c>
      <c r="W94" s="19">
        <v>71</v>
      </c>
      <c r="X94" s="20">
        <v>0.04</v>
      </c>
      <c r="Y94" s="19"/>
      <c r="Z94" s="20">
        <v>0</v>
      </c>
      <c r="AA94" s="22">
        <v>2.7307692307692307E-2</v>
      </c>
    </row>
    <row r="95" spans="2:27" x14ac:dyDescent="0.25">
      <c r="B95" t="s">
        <v>370</v>
      </c>
      <c r="C95" t="s">
        <v>371</v>
      </c>
      <c r="D95">
        <v>0.9</v>
      </c>
      <c r="G95" s="75" t="str">
        <f t="shared" si="6"/>
        <v>1.5 - 1.7&amp;15 – 16</v>
      </c>
      <c r="H95" s="208" t="str">
        <f t="shared" si="7"/>
        <v>1.5 - 1.7&amp;0</v>
      </c>
      <c r="I95" s="75" t="s">
        <v>352</v>
      </c>
      <c r="J95" s="75">
        <f>'SETTING PRODUKSI Januari'!AE25</f>
        <v>0</v>
      </c>
      <c r="K95" s="18" t="s">
        <v>79</v>
      </c>
      <c r="L95" s="19">
        <v>0</v>
      </c>
      <c r="M95" s="20">
        <v>0.01</v>
      </c>
      <c r="N95" s="19"/>
      <c r="O95" s="20">
        <v>0</v>
      </c>
      <c r="P95" s="22">
        <v>0</v>
      </c>
      <c r="R95" s="75" t="str">
        <f t="shared" si="8"/>
        <v>1.5 - 1.7&amp;15 – 16</v>
      </c>
      <c r="S95" s="208" t="str">
        <f t="shared" si="9"/>
        <v>1.5 - 1.7&amp;0</v>
      </c>
      <c r="T95" s="75" t="s">
        <v>352</v>
      </c>
      <c r="U95" s="75">
        <f>'SETTING PRODUKSI Januari'!AE53</f>
        <v>0</v>
      </c>
      <c r="V95" s="18" t="s">
        <v>79</v>
      </c>
      <c r="W95" s="19">
        <v>0</v>
      </c>
      <c r="X95" s="20">
        <v>0.01</v>
      </c>
      <c r="Y95" s="19"/>
      <c r="Z95" s="20">
        <v>0</v>
      </c>
      <c r="AA95" s="22">
        <v>0</v>
      </c>
    </row>
    <row r="96" spans="2:27" x14ac:dyDescent="0.25">
      <c r="B96" t="s">
        <v>380</v>
      </c>
      <c r="C96" t="s">
        <v>381</v>
      </c>
      <c r="D96">
        <v>1.3</v>
      </c>
      <c r="G96" s="75" t="str">
        <f t="shared" si="6"/>
        <v>1.5 - 1.7&amp;16 - 17</v>
      </c>
      <c r="H96" s="208" t="str">
        <f t="shared" si="7"/>
        <v>1.5 - 1.7&amp;0</v>
      </c>
      <c r="I96" s="75" t="s">
        <v>352</v>
      </c>
      <c r="J96" s="75">
        <f>'SETTING PRODUKSI Januari'!AE26</f>
        <v>0</v>
      </c>
      <c r="K96" s="24" t="s">
        <v>339</v>
      </c>
      <c r="L96" s="19">
        <v>0</v>
      </c>
      <c r="M96" s="20">
        <v>0</v>
      </c>
      <c r="N96" s="19"/>
      <c r="O96" s="20">
        <v>0</v>
      </c>
      <c r="P96" s="22">
        <v>0</v>
      </c>
      <c r="R96" s="75" t="str">
        <f t="shared" si="8"/>
        <v>1.5 - 1.7&amp;16 - 17</v>
      </c>
      <c r="S96" s="208" t="str">
        <f t="shared" si="9"/>
        <v>1.5 - 1.7&amp;0</v>
      </c>
      <c r="T96" s="75" t="s">
        <v>352</v>
      </c>
      <c r="U96" s="75">
        <f>'SETTING PRODUKSI Januari'!AE54</f>
        <v>0</v>
      </c>
      <c r="V96" s="24" t="s">
        <v>339</v>
      </c>
      <c r="W96" s="19">
        <v>0</v>
      </c>
      <c r="X96" s="20">
        <v>0</v>
      </c>
      <c r="Y96" s="19"/>
      <c r="Z96" s="20">
        <v>0</v>
      </c>
      <c r="AA96" s="22">
        <v>0</v>
      </c>
    </row>
    <row r="97" spans="2:27" x14ac:dyDescent="0.25">
      <c r="B97" t="s">
        <v>406</v>
      </c>
      <c r="C97" t="s">
        <v>407</v>
      </c>
      <c r="D97">
        <v>1.1000000000000001</v>
      </c>
      <c r="G97" s="75" t="str">
        <f t="shared" si="6"/>
        <v>&amp;Total</v>
      </c>
      <c r="H97" s="208" t="str">
        <f t="shared" si="7"/>
        <v>&amp;</v>
      </c>
      <c r="K97" s="28" t="s">
        <v>80</v>
      </c>
      <c r="L97" s="29">
        <v>2600</v>
      </c>
      <c r="M97" s="33">
        <f>SUM(M83:M96)</f>
        <v>1</v>
      </c>
      <c r="N97" s="29">
        <v>0</v>
      </c>
      <c r="O97" s="33">
        <v>0</v>
      </c>
      <c r="P97" s="33">
        <v>1</v>
      </c>
      <c r="R97" s="75" t="str">
        <f t="shared" si="8"/>
        <v>&amp;Total</v>
      </c>
      <c r="S97" s="208" t="str">
        <f t="shared" si="9"/>
        <v>&amp;</v>
      </c>
      <c r="V97" s="28" t="s">
        <v>80</v>
      </c>
      <c r="W97" s="29">
        <v>2600</v>
      </c>
      <c r="X97" s="33">
        <f>SUM(X83:X96)</f>
        <v>1</v>
      </c>
      <c r="Y97" s="29">
        <v>0</v>
      </c>
      <c r="Z97" s="33">
        <v>0</v>
      </c>
      <c r="AA97" s="33">
        <v>1</v>
      </c>
    </row>
    <row r="98" spans="2:27" x14ac:dyDescent="0.25">
      <c r="B98" t="s">
        <v>408</v>
      </c>
      <c r="C98" t="s">
        <v>409</v>
      </c>
      <c r="D98">
        <v>1.1000000000000001</v>
      </c>
      <c r="G98" s="75" t="str">
        <f t="shared" si="6"/>
        <v>&amp;</v>
      </c>
      <c r="H98" s="208" t="str">
        <f t="shared" si="7"/>
        <v>&amp;</v>
      </c>
      <c r="R98" s="75" t="str">
        <f t="shared" si="8"/>
        <v>&amp;</v>
      </c>
      <c r="S98" s="208" t="str">
        <f t="shared" si="9"/>
        <v>&amp;</v>
      </c>
    </row>
    <row r="99" spans="2:27" x14ac:dyDescent="0.25">
      <c r="B99" t="s">
        <v>410</v>
      </c>
      <c r="C99" t="s">
        <v>411</v>
      </c>
      <c r="D99">
        <v>1</v>
      </c>
      <c r="G99" s="75" t="str">
        <f t="shared" si="6"/>
        <v>&amp;</v>
      </c>
      <c r="H99" s="208" t="str">
        <f t="shared" si="7"/>
        <v>&amp;</v>
      </c>
      <c r="R99" s="75" t="str">
        <f t="shared" si="8"/>
        <v>&amp;</v>
      </c>
      <c r="S99" s="208" t="str">
        <f t="shared" si="9"/>
        <v>&amp;</v>
      </c>
    </row>
    <row r="100" spans="2:27" x14ac:dyDescent="0.25">
      <c r="B100" t="s">
        <v>412</v>
      </c>
      <c r="C100" t="s">
        <v>413</v>
      </c>
      <c r="D100">
        <v>1</v>
      </c>
      <c r="G100" s="75" t="str">
        <f t="shared" si="6"/>
        <v>&amp;</v>
      </c>
      <c r="H100" s="208" t="str">
        <f t="shared" si="7"/>
        <v>&amp;</v>
      </c>
      <c r="R100" s="75" t="str">
        <f t="shared" si="8"/>
        <v>&amp;</v>
      </c>
      <c r="S100" s="208" t="str">
        <f t="shared" si="9"/>
        <v>&amp;</v>
      </c>
    </row>
    <row r="101" spans="2:27" x14ac:dyDescent="0.25">
      <c r="B101" t="s">
        <v>515</v>
      </c>
      <c r="C101" t="s">
        <v>516</v>
      </c>
      <c r="D101">
        <v>1.3</v>
      </c>
      <c r="G101" s="75" t="str">
        <f t="shared" si="6"/>
        <v xml:space="preserve">&amp;BW LB </v>
      </c>
      <c r="H101" s="208" t="str">
        <f t="shared" si="7"/>
        <v>&amp;</v>
      </c>
      <c r="K101" s="12" t="s">
        <v>56</v>
      </c>
      <c r="L101" s="13"/>
      <c r="M101" s="12"/>
      <c r="N101" s="13"/>
      <c r="O101" s="14" t="s">
        <v>69</v>
      </c>
      <c r="P101" s="11"/>
      <c r="R101" s="75" t="str">
        <f t="shared" si="8"/>
        <v xml:space="preserve">&amp;BW LB </v>
      </c>
      <c r="S101" s="208" t="str">
        <f t="shared" si="9"/>
        <v>&amp;</v>
      </c>
      <c r="V101" s="12" t="s">
        <v>56</v>
      </c>
      <c r="W101" s="13"/>
      <c r="X101" s="12"/>
      <c r="Y101" s="13"/>
      <c r="Z101" s="14" t="s">
        <v>69</v>
      </c>
      <c r="AA101" s="11"/>
    </row>
    <row r="102" spans="2:27" x14ac:dyDescent="0.25">
      <c r="B102" t="s">
        <v>517</v>
      </c>
      <c r="C102" t="s">
        <v>518</v>
      </c>
      <c r="D102">
        <v>1.4</v>
      </c>
      <c r="G102" s="75" t="str">
        <f t="shared" si="6"/>
        <v>&amp;UKURAN AU</v>
      </c>
      <c r="H102" s="208" t="str">
        <f t="shared" si="7"/>
        <v>&amp;</v>
      </c>
      <c r="K102" s="15" t="s">
        <v>57</v>
      </c>
      <c r="L102" s="16"/>
      <c r="M102" s="17" t="s">
        <v>59</v>
      </c>
      <c r="N102" s="16"/>
      <c r="O102" s="17" t="s">
        <v>60</v>
      </c>
      <c r="P102" s="17" t="s">
        <v>61</v>
      </c>
      <c r="R102" s="75" t="str">
        <f t="shared" si="8"/>
        <v>&amp;UKURAN AU</v>
      </c>
      <c r="S102" s="208" t="str">
        <f t="shared" si="9"/>
        <v>&amp;</v>
      </c>
      <c r="V102" s="15" t="s">
        <v>57</v>
      </c>
      <c r="W102" s="16"/>
      <c r="X102" s="17" t="s">
        <v>59</v>
      </c>
      <c r="Y102" s="16"/>
      <c r="Z102" s="17" t="s">
        <v>60</v>
      </c>
      <c r="AA102" s="17" t="s">
        <v>61</v>
      </c>
    </row>
    <row r="103" spans="2:27" x14ac:dyDescent="0.25">
      <c r="B103" t="s">
        <v>384</v>
      </c>
      <c r="C103" t="s">
        <v>385</v>
      </c>
      <c r="D103">
        <v>1.2</v>
      </c>
      <c r="G103" s="75" t="str">
        <f t="shared" si="6"/>
        <v>1.6 – 1.8&amp;UNDER 04</v>
      </c>
      <c r="H103" s="208" t="str">
        <f t="shared" si="7"/>
        <v>1.6 – 1.8&amp;0</v>
      </c>
      <c r="I103" s="75" t="s">
        <v>69</v>
      </c>
      <c r="J103">
        <f>'SETTING PRODUKSI Januari'!AH13</f>
        <v>0</v>
      </c>
      <c r="K103" s="18" t="s">
        <v>63</v>
      </c>
      <c r="L103" s="19">
        <v>0</v>
      </c>
      <c r="M103" s="20">
        <v>0</v>
      </c>
      <c r="N103" s="19"/>
      <c r="O103" s="20">
        <v>0</v>
      </c>
      <c r="P103" s="22">
        <v>0</v>
      </c>
      <c r="R103" s="75" t="str">
        <f t="shared" si="8"/>
        <v>1.6 – 1.8&amp;UNDER 04</v>
      </c>
      <c r="S103" s="208" t="str">
        <f t="shared" si="9"/>
        <v>1.6 – 1.8&amp;0</v>
      </c>
      <c r="T103" s="75" t="s">
        <v>69</v>
      </c>
      <c r="U103">
        <f>'SETTING PRODUKSI Januari'!AH41</f>
        <v>0</v>
      </c>
      <c r="V103" s="18" t="s">
        <v>63</v>
      </c>
      <c r="W103" s="19">
        <v>0</v>
      </c>
      <c r="X103" s="20">
        <v>0</v>
      </c>
      <c r="Y103" s="19"/>
      <c r="Z103" s="20">
        <v>0</v>
      </c>
      <c r="AA103" s="22">
        <v>0</v>
      </c>
    </row>
    <row r="104" spans="2:27" x14ac:dyDescent="0.25">
      <c r="B104" t="s">
        <v>577</v>
      </c>
      <c r="C104" t="s">
        <v>578</v>
      </c>
      <c r="D104">
        <v>1.1000000000000001</v>
      </c>
      <c r="G104" s="75" t="str">
        <f t="shared" si="6"/>
        <v>1.6 – 1.8&amp;04 – 05</v>
      </c>
      <c r="H104" s="208" t="str">
        <f t="shared" si="7"/>
        <v>1.6 – 1.8&amp;0</v>
      </c>
      <c r="I104" s="75" t="s">
        <v>69</v>
      </c>
      <c r="J104">
        <f>'SETTING PRODUKSI Januari'!AH14</f>
        <v>0</v>
      </c>
      <c r="K104" s="24" t="s">
        <v>65</v>
      </c>
      <c r="L104" s="19">
        <v>0</v>
      </c>
      <c r="M104" s="20">
        <v>0</v>
      </c>
      <c r="N104" s="19"/>
      <c r="O104" s="20">
        <v>0</v>
      </c>
      <c r="P104" s="22">
        <v>0</v>
      </c>
      <c r="R104" s="75" t="str">
        <f t="shared" si="8"/>
        <v>1.6 – 1.8&amp;04 – 05</v>
      </c>
      <c r="S104" s="208" t="str">
        <f t="shared" si="9"/>
        <v>1.6 – 1.8&amp;0</v>
      </c>
      <c r="T104" s="75" t="s">
        <v>69</v>
      </c>
      <c r="U104">
        <f>'SETTING PRODUKSI Januari'!AH42</f>
        <v>0</v>
      </c>
      <c r="V104" s="24" t="s">
        <v>65</v>
      </c>
      <c r="W104" s="19">
        <v>0</v>
      </c>
      <c r="X104" s="20">
        <v>0</v>
      </c>
      <c r="Y104" s="19"/>
      <c r="Z104" s="20">
        <v>0</v>
      </c>
      <c r="AA104" s="22">
        <v>0</v>
      </c>
    </row>
    <row r="105" spans="2:27" x14ac:dyDescent="0.25">
      <c r="G105" s="75" t="str">
        <f t="shared" si="6"/>
        <v>1.6 – 1.8&amp;05 – 06</v>
      </c>
      <c r="H105" s="208" t="str">
        <f t="shared" si="7"/>
        <v>1.6 – 1.8&amp;0</v>
      </c>
      <c r="I105" s="75" t="s">
        <v>69</v>
      </c>
      <c r="J105">
        <f>'SETTING PRODUKSI Januari'!AH15</f>
        <v>0</v>
      </c>
      <c r="K105" s="18" t="s">
        <v>67</v>
      </c>
      <c r="L105" s="19">
        <v>0</v>
      </c>
      <c r="M105" s="20">
        <v>0</v>
      </c>
      <c r="N105" s="19"/>
      <c r="O105" s="20">
        <v>0</v>
      </c>
      <c r="P105" s="22">
        <v>0</v>
      </c>
      <c r="R105" s="75" t="str">
        <f t="shared" si="8"/>
        <v>1.6 – 1.8&amp;05 – 06</v>
      </c>
      <c r="S105" s="208" t="str">
        <f t="shared" si="9"/>
        <v>1.6 – 1.8&amp;0</v>
      </c>
      <c r="T105" s="75" t="s">
        <v>69</v>
      </c>
      <c r="U105">
        <f>'SETTING PRODUKSI Januari'!AH43</f>
        <v>0</v>
      </c>
      <c r="V105" s="18" t="s">
        <v>67</v>
      </c>
      <c r="W105" s="19">
        <v>0</v>
      </c>
      <c r="X105" s="20">
        <v>0</v>
      </c>
      <c r="Y105" s="19"/>
      <c r="Z105" s="20">
        <v>0</v>
      </c>
      <c r="AA105" s="22">
        <v>0</v>
      </c>
    </row>
    <row r="106" spans="2:27" x14ac:dyDescent="0.25">
      <c r="G106" s="75" t="str">
        <f t="shared" si="6"/>
        <v>1.6 – 1.8&amp;06 – 07</v>
      </c>
      <c r="H106" s="208" t="str">
        <f t="shared" si="7"/>
        <v>1.6 – 1.8&amp;0</v>
      </c>
      <c r="I106" s="75" t="s">
        <v>69</v>
      </c>
      <c r="J106">
        <f>'SETTING PRODUKSI Januari'!AH16</f>
        <v>0</v>
      </c>
      <c r="K106" s="24" t="s">
        <v>68</v>
      </c>
      <c r="L106" s="19">
        <v>1</v>
      </c>
      <c r="M106" s="20">
        <v>1.1098779134295228E-3</v>
      </c>
      <c r="N106" s="19"/>
      <c r="O106" s="20">
        <v>0</v>
      </c>
      <c r="P106" s="22">
        <v>1.1098779134295228E-3</v>
      </c>
      <c r="R106" s="75" t="str">
        <f t="shared" si="8"/>
        <v>1.6 – 1.8&amp;06 – 07</v>
      </c>
      <c r="S106" s="208" t="str">
        <f t="shared" si="9"/>
        <v>1.6 – 1.8&amp;0</v>
      </c>
      <c r="T106" s="75" t="s">
        <v>69</v>
      </c>
      <c r="U106">
        <f>'SETTING PRODUKSI Januari'!AH44</f>
        <v>0</v>
      </c>
      <c r="V106" s="24" t="s">
        <v>68</v>
      </c>
      <c r="W106" s="19">
        <v>1</v>
      </c>
      <c r="X106" s="20">
        <v>1.1098779134295228E-3</v>
      </c>
      <c r="Y106" s="19"/>
      <c r="Z106" s="20">
        <v>0</v>
      </c>
      <c r="AA106" s="22">
        <v>1.1098779134295228E-3</v>
      </c>
    </row>
    <row r="107" spans="2:27" x14ac:dyDescent="0.25">
      <c r="G107" s="75" t="str">
        <f t="shared" si="6"/>
        <v>1.6 – 1.8&amp;07 – 08</v>
      </c>
      <c r="H107" s="208" t="str">
        <f t="shared" si="7"/>
        <v>1.6 – 1.8&amp;0</v>
      </c>
      <c r="I107" s="75" t="s">
        <v>69</v>
      </c>
      <c r="J107">
        <f>'SETTING PRODUKSI Januari'!AH17</f>
        <v>0</v>
      </c>
      <c r="K107" s="18" t="s">
        <v>70</v>
      </c>
      <c r="L107" s="19">
        <v>0</v>
      </c>
      <c r="M107" s="20">
        <v>0</v>
      </c>
      <c r="N107" s="19"/>
      <c r="O107" s="20">
        <v>0</v>
      </c>
      <c r="P107" s="22">
        <v>0</v>
      </c>
      <c r="R107" s="75" t="str">
        <f t="shared" si="8"/>
        <v>1.6 – 1.8&amp;07 – 08</v>
      </c>
      <c r="S107" s="208" t="str">
        <f t="shared" si="9"/>
        <v>1.6 – 1.8&amp;0</v>
      </c>
      <c r="T107" s="75" t="s">
        <v>69</v>
      </c>
      <c r="U107">
        <f>'SETTING PRODUKSI Januari'!AH45</f>
        <v>0</v>
      </c>
      <c r="V107" s="18" t="s">
        <v>70</v>
      </c>
      <c r="W107" s="19">
        <v>0</v>
      </c>
      <c r="X107" s="20">
        <v>0</v>
      </c>
      <c r="Y107" s="19"/>
      <c r="Z107" s="20">
        <v>0</v>
      </c>
      <c r="AA107" s="22">
        <v>0</v>
      </c>
    </row>
    <row r="108" spans="2:27" x14ac:dyDescent="0.25">
      <c r="G108" s="75" t="str">
        <f t="shared" si="6"/>
        <v>1.6 – 1.8&amp;08 – 09</v>
      </c>
      <c r="H108" s="208" t="str">
        <f t="shared" si="7"/>
        <v>1.6 – 1.8&amp;0</v>
      </c>
      <c r="I108" s="75" t="s">
        <v>69</v>
      </c>
      <c r="J108">
        <f>'SETTING PRODUKSI Januari'!AH18</f>
        <v>0</v>
      </c>
      <c r="K108" s="24" t="s">
        <v>72</v>
      </c>
      <c r="L108" s="19">
        <v>0</v>
      </c>
      <c r="M108" s="20">
        <v>0</v>
      </c>
      <c r="N108" s="19"/>
      <c r="O108" s="20">
        <v>0</v>
      </c>
      <c r="P108" s="22">
        <v>0</v>
      </c>
      <c r="R108" s="75" t="str">
        <f t="shared" si="8"/>
        <v>1.6 – 1.8&amp;08 – 09</v>
      </c>
      <c r="S108" s="208" t="str">
        <f t="shared" si="9"/>
        <v>1.6 – 1.8&amp;0</v>
      </c>
      <c r="T108" s="75" t="s">
        <v>69</v>
      </c>
      <c r="U108">
        <f>'SETTING PRODUKSI Januari'!AH46</f>
        <v>0</v>
      </c>
      <c r="V108" s="24" t="s">
        <v>72</v>
      </c>
      <c r="W108" s="19">
        <v>0</v>
      </c>
      <c r="X108" s="20">
        <v>0</v>
      </c>
      <c r="Y108" s="19"/>
      <c r="Z108" s="20">
        <v>0</v>
      </c>
      <c r="AA108" s="22">
        <v>0</v>
      </c>
    </row>
    <row r="109" spans="2:27" x14ac:dyDescent="0.25">
      <c r="G109" s="75" t="str">
        <f t="shared" si="6"/>
        <v>1.6 – 1.8&amp;09 – 10</v>
      </c>
      <c r="H109" s="208" t="str">
        <f t="shared" si="7"/>
        <v>1.6 – 1.8&amp;0</v>
      </c>
      <c r="I109" s="75" t="s">
        <v>69</v>
      </c>
      <c r="J109">
        <f>'SETTING PRODUKSI Januari'!AH19</f>
        <v>0</v>
      </c>
      <c r="K109" s="18" t="s">
        <v>73</v>
      </c>
      <c r="L109" s="19">
        <v>10</v>
      </c>
      <c r="M109" s="20">
        <v>1.1098779134295227E-2</v>
      </c>
      <c r="N109" s="19"/>
      <c r="O109" s="20">
        <v>0</v>
      </c>
      <c r="P109" s="22">
        <v>1.1098779134295227E-2</v>
      </c>
      <c r="R109" s="75" t="str">
        <f t="shared" si="8"/>
        <v>1.6 – 1.8&amp;09 – 10</v>
      </c>
      <c r="S109" s="208" t="str">
        <f t="shared" si="9"/>
        <v>1.6 – 1.8&amp;0</v>
      </c>
      <c r="T109" s="75" t="s">
        <v>69</v>
      </c>
      <c r="U109">
        <f>'SETTING PRODUKSI Januari'!AH47</f>
        <v>0</v>
      </c>
      <c r="V109" s="18" t="s">
        <v>73</v>
      </c>
      <c r="W109" s="19">
        <v>10</v>
      </c>
      <c r="X109" s="20">
        <v>1.1098779134295227E-2</v>
      </c>
      <c r="Y109" s="19"/>
      <c r="Z109" s="20">
        <v>0</v>
      </c>
      <c r="AA109" s="22">
        <v>1.1098779134295227E-2</v>
      </c>
    </row>
    <row r="110" spans="2:27" x14ac:dyDescent="0.25">
      <c r="G110" s="75" t="str">
        <f t="shared" si="6"/>
        <v>1.6 – 1.8&amp;10 – 11</v>
      </c>
      <c r="H110" s="208" t="str">
        <f t="shared" si="7"/>
        <v>1.6 – 1.8&amp;0</v>
      </c>
      <c r="I110" s="75" t="s">
        <v>69</v>
      </c>
      <c r="J110">
        <f>'SETTING PRODUKSI Januari'!AH20</f>
        <v>0</v>
      </c>
      <c r="K110" s="25" t="s">
        <v>74</v>
      </c>
      <c r="L110" s="19">
        <v>64</v>
      </c>
      <c r="M110" s="20">
        <v>7.1032186459489458E-2</v>
      </c>
      <c r="N110" s="19"/>
      <c r="O110" s="20">
        <v>0</v>
      </c>
      <c r="P110" s="22">
        <v>7.1032186459489458E-2</v>
      </c>
      <c r="R110" s="75" t="str">
        <f t="shared" si="8"/>
        <v>1.6 – 1.8&amp;10 – 11</v>
      </c>
      <c r="S110" s="208" t="str">
        <f t="shared" si="9"/>
        <v>1.6 – 1.8&amp;0</v>
      </c>
      <c r="T110" s="75" t="s">
        <v>69</v>
      </c>
      <c r="U110">
        <f>'SETTING PRODUKSI Januari'!AH48</f>
        <v>0</v>
      </c>
      <c r="V110" s="25" t="s">
        <v>74</v>
      </c>
      <c r="W110" s="19">
        <v>64</v>
      </c>
      <c r="X110" s="20">
        <v>7.1032186459489458E-2</v>
      </c>
      <c r="Y110" s="19"/>
      <c r="Z110" s="20">
        <v>0</v>
      </c>
      <c r="AA110" s="22">
        <v>7.1032186459489458E-2</v>
      </c>
    </row>
    <row r="111" spans="2:27" x14ac:dyDescent="0.25">
      <c r="G111" s="75" t="str">
        <f t="shared" si="6"/>
        <v>1.6 – 1.8&amp;11 – 12</v>
      </c>
      <c r="H111" s="208" t="str">
        <f t="shared" si="7"/>
        <v>1.6 – 1.8&amp;0</v>
      </c>
      <c r="I111" s="75" t="s">
        <v>69</v>
      </c>
      <c r="J111">
        <f>'SETTING PRODUKSI Januari'!AH21</f>
        <v>0</v>
      </c>
      <c r="K111" s="26" t="s">
        <v>75</v>
      </c>
      <c r="L111" s="19">
        <v>219</v>
      </c>
      <c r="M111" s="20">
        <v>0.24306326304106549</v>
      </c>
      <c r="N111" s="19"/>
      <c r="O111" s="20">
        <v>0</v>
      </c>
      <c r="P111" s="22">
        <v>0.24306326304106549</v>
      </c>
      <c r="R111" s="75" t="str">
        <f t="shared" si="8"/>
        <v>1.6 – 1.8&amp;11 – 12</v>
      </c>
      <c r="S111" s="208" t="str">
        <f t="shared" si="9"/>
        <v>1.6 – 1.8&amp;0</v>
      </c>
      <c r="T111" s="75" t="s">
        <v>69</v>
      </c>
      <c r="U111">
        <f>'SETTING PRODUKSI Januari'!AH49</f>
        <v>0</v>
      </c>
      <c r="V111" s="26" t="s">
        <v>75</v>
      </c>
      <c r="W111" s="19">
        <v>219</v>
      </c>
      <c r="X111" s="20">
        <v>0.24306326304106549</v>
      </c>
      <c r="Y111" s="19"/>
      <c r="Z111" s="20">
        <v>0</v>
      </c>
      <c r="AA111" s="22">
        <v>0.24306326304106549</v>
      </c>
    </row>
    <row r="112" spans="2:27" x14ac:dyDescent="0.25">
      <c r="G112" s="75" t="str">
        <f t="shared" si="6"/>
        <v>1.6 – 1.8&amp;12 – 13</v>
      </c>
      <c r="H112" s="208" t="str">
        <f t="shared" si="7"/>
        <v>1.6 – 1.8&amp;0</v>
      </c>
      <c r="I112" s="75" t="s">
        <v>69</v>
      </c>
      <c r="J112">
        <f>'SETTING PRODUKSI Januari'!AH22</f>
        <v>0</v>
      </c>
      <c r="K112" s="25" t="s">
        <v>76</v>
      </c>
      <c r="L112" s="19">
        <v>303</v>
      </c>
      <c r="M112" s="20">
        <v>0.33629300776914539</v>
      </c>
      <c r="N112" s="19"/>
      <c r="O112" s="20">
        <v>0</v>
      </c>
      <c r="P112" s="22">
        <v>0.33629300776914539</v>
      </c>
      <c r="R112" s="75" t="str">
        <f t="shared" si="8"/>
        <v>1.6 – 1.8&amp;12 – 13</v>
      </c>
      <c r="S112" s="208" t="str">
        <f t="shared" si="9"/>
        <v>1.6 – 1.8&amp;0</v>
      </c>
      <c r="T112" s="75" t="s">
        <v>69</v>
      </c>
      <c r="U112">
        <f>'SETTING PRODUKSI Januari'!AH50</f>
        <v>0</v>
      </c>
      <c r="V112" s="25" t="s">
        <v>76</v>
      </c>
      <c r="W112" s="19">
        <v>303</v>
      </c>
      <c r="X112" s="20">
        <v>0.33629300776914539</v>
      </c>
      <c r="Y112" s="19"/>
      <c r="Z112" s="20">
        <v>0</v>
      </c>
      <c r="AA112" s="22">
        <v>0.33629300776914539</v>
      </c>
    </row>
    <row r="113" spans="7:27" x14ac:dyDescent="0.25">
      <c r="G113" s="75" t="str">
        <f t="shared" si="6"/>
        <v>1.6 – 1.8&amp;13 – 14</v>
      </c>
      <c r="H113" s="208" t="str">
        <f t="shared" si="7"/>
        <v>1.6 – 1.8&amp;0</v>
      </c>
      <c r="I113" s="75" t="s">
        <v>69</v>
      </c>
      <c r="J113">
        <f>'SETTING PRODUKSI Januari'!AH23</f>
        <v>0</v>
      </c>
      <c r="K113" s="18" t="s">
        <v>77</v>
      </c>
      <c r="L113" s="19">
        <v>203</v>
      </c>
      <c r="M113" s="20">
        <v>0.22530521642619311</v>
      </c>
      <c r="N113" s="19"/>
      <c r="O113" s="20">
        <v>0</v>
      </c>
      <c r="P113" s="22">
        <v>0.22530521642619311</v>
      </c>
      <c r="R113" s="75" t="str">
        <f t="shared" si="8"/>
        <v>1.6 – 1.8&amp;13 – 14</v>
      </c>
      <c r="S113" s="208" t="str">
        <f t="shared" si="9"/>
        <v>1.6 – 1.8&amp;0</v>
      </c>
      <c r="T113" s="75" t="s">
        <v>69</v>
      </c>
      <c r="U113">
        <f>'SETTING PRODUKSI Januari'!AH51</f>
        <v>0</v>
      </c>
      <c r="V113" s="18" t="s">
        <v>77</v>
      </c>
      <c r="W113" s="19">
        <v>203</v>
      </c>
      <c r="X113" s="20">
        <v>0.22530521642619311</v>
      </c>
      <c r="Y113" s="19"/>
      <c r="Z113" s="20">
        <v>0</v>
      </c>
      <c r="AA113" s="22">
        <v>0.22530521642619311</v>
      </c>
    </row>
    <row r="114" spans="7:27" x14ac:dyDescent="0.25">
      <c r="G114" s="75" t="str">
        <f t="shared" si="6"/>
        <v>1.6 – 1.8&amp;14 – 15</v>
      </c>
      <c r="H114" s="208" t="str">
        <f t="shared" si="7"/>
        <v>1.6 – 1.8&amp;0</v>
      </c>
      <c r="I114" s="75" t="s">
        <v>69</v>
      </c>
      <c r="J114">
        <f>'SETTING PRODUKSI Januari'!AH24</f>
        <v>0</v>
      </c>
      <c r="K114" s="24" t="s">
        <v>78</v>
      </c>
      <c r="L114" s="19">
        <v>101</v>
      </c>
      <c r="M114" s="20">
        <v>0.1120976692563818</v>
      </c>
      <c r="N114" s="19"/>
      <c r="O114" s="20">
        <v>0</v>
      </c>
      <c r="P114" s="22">
        <v>0.1120976692563818</v>
      </c>
      <c r="R114" s="75" t="str">
        <f t="shared" si="8"/>
        <v>1.6 – 1.8&amp;14 – 15</v>
      </c>
      <c r="S114" s="208" t="str">
        <f t="shared" si="9"/>
        <v>1.6 – 1.8&amp;0</v>
      </c>
      <c r="T114" s="75" t="s">
        <v>69</v>
      </c>
      <c r="U114">
        <f>'SETTING PRODUKSI Januari'!AH52</f>
        <v>0</v>
      </c>
      <c r="V114" s="24" t="s">
        <v>78</v>
      </c>
      <c r="W114" s="19">
        <v>101</v>
      </c>
      <c r="X114" s="20">
        <v>0.1120976692563818</v>
      </c>
      <c r="Y114" s="19"/>
      <c r="Z114" s="20">
        <v>0</v>
      </c>
      <c r="AA114" s="22">
        <v>0.1120976692563818</v>
      </c>
    </row>
    <row r="115" spans="7:27" x14ac:dyDescent="0.25">
      <c r="G115" s="75" t="str">
        <f t="shared" si="6"/>
        <v>1.6 – 1.8&amp;15 – 16</v>
      </c>
      <c r="H115" s="208" t="str">
        <f t="shared" si="7"/>
        <v>1.6 – 1.8&amp;0</v>
      </c>
      <c r="I115" s="75" t="s">
        <v>69</v>
      </c>
      <c r="J115">
        <f>'SETTING PRODUKSI Januari'!AH25</f>
        <v>0</v>
      </c>
      <c r="K115" s="18" t="s">
        <v>79</v>
      </c>
      <c r="L115" s="19">
        <v>0</v>
      </c>
      <c r="M115" s="20">
        <v>0</v>
      </c>
      <c r="N115" s="19"/>
      <c r="O115" s="20">
        <v>0</v>
      </c>
      <c r="P115" s="22">
        <v>0</v>
      </c>
      <c r="R115" s="75" t="str">
        <f t="shared" si="8"/>
        <v>1.6 – 1.8&amp;15 – 16</v>
      </c>
      <c r="S115" s="208" t="str">
        <f t="shared" si="9"/>
        <v>1.6 – 1.8&amp;0</v>
      </c>
      <c r="T115" s="75" t="s">
        <v>69</v>
      </c>
      <c r="U115">
        <f>'SETTING PRODUKSI Januari'!AH53</f>
        <v>0</v>
      </c>
      <c r="V115" s="18" t="s">
        <v>79</v>
      </c>
      <c r="W115" s="19">
        <v>0</v>
      </c>
      <c r="X115" s="20">
        <v>0</v>
      </c>
      <c r="Y115" s="19"/>
      <c r="Z115" s="20">
        <v>0</v>
      </c>
      <c r="AA115" s="22">
        <v>0</v>
      </c>
    </row>
    <row r="116" spans="7:27" x14ac:dyDescent="0.25">
      <c r="G116" s="75" t="str">
        <f t="shared" si="6"/>
        <v>1.6 – 1.8&amp;16 - 17</v>
      </c>
      <c r="H116" s="208" t="str">
        <f t="shared" si="7"/>
        <v>1.6 – 1.8&amp;0</v>
      </c>
      <c r="I116" s="75" t="s">
        <v>69</v>
      </c>
      <c r="J116">
        <f>'SETTING PRODUKSI Januari'!AH26</f>
        <v>0</v>
      </c>
      <c r="K116" s="24" t="s">
        <v>339</v>
      </c>
      <c r="L116" s="19">
        <v>0</v>
      </c>
      <c r="M116" s="20">
        <v>0</v>
      </c>
      <c r="N116" s="19"/>
      <c r="O116" s="20">
        <v>0</v>
      </c>
      <c r="P116" s="22">
        <v>0</v>
      </c>
      <c r="R116" s="75" t="str">
        <f t="shared" si="8"/>
        <v>1.6 – 1.8&amp;16 - 17</v>
      </c>
      <c r="S116" s="208" t="str">
        <f t="shared" si="9"/>
        <v>1.6 – 1.8&amp;0</v>
      </c>
      <c r="T116" s="75" t="s">
        <v>69</v>
      </c>
      <c r="U116">
        <f>'SETTING PRODUKSI Januari'!AH54</f>
        <v>0</v>
      </c>
      <c r="V116" s="24" t="s">
        <v>339</v>
      </c>
      <c r="W116" s="19">
        <v>0</v>
      </c>
      <c r="X116" s="20">
        <v>0</v>
      </c>
      <c r="Y116" s="19"/>
      <c r="Z116" s="20">
        <v>0</v>
      </c>
      <c r="AA116" s="22">
        <v>0</v>
      </c>
    </row>
    <row r="117" spans="7:27" x14ac:dyDescent="0.25">
      <c r="G117" s="75" t="str">
        <f t="shared" si="6"/>
        <v>&amp;Total</v>
      </c>
      <c r="H117" s="208" t="str">
        <f t="shared" si="7"/>
        <v>&amp;</v>
      </c>
      <c r="K117" s="28" t="s">
        <v>80</v>
      </c>
      <c r="L117" s="29">
        <v>901</v>
      </c>
      <c r="M117" s="33">
        <f>SUM(M103:M116)</f>
        <v>1</v>
      </c>
      <c r="N117" s="29">
        <v>0</v>
      </c>
      <c r="O117" s="33">
        <v>0</v>
      </c>
      <c r="P117" s="33">
        <v>1</v>
      </c>
      <c r="R117" s="75" t="str">
        <f t="shared" si="8"/>
        <v>&amp;Total</v>
      </c>
      <c r="S117" s="208" t="str">
        <f t="shared" si="9"/>
        <v>&amp;</v>
      </c>
      <c r="V117" s="28" t="s">
        <v>80</v>
      </c>
      <c r="W117" s="29">
        <v>901</v>
      </c>
      <c r="X117" s="33">
        <f>SUM(X103:X116)</f>
        <v>1</v>
      </c>
      <c r="Y117" s="29">
        <v>0</v>
      </c>
      <c r="Z117" s="33">
        <v>0</v>
      </c>
      <c r="AA117" s="33">
        <v>1</v>
      </c>
    </row>
    <row r="118" spans="7:27" x14ac:dyDescent="0.25">
      <c r="G118" s="75" t="str">
        <f t="shared" si="6"/>
        <v>&amp;</v>
      </c>
      <c r="H118" s="208" t="str">
        <f t="shared" si="7"/>
        <v>&amp;</v>
      </c>
      <c r="R118" s="75" t="str">
        <f t="shared" si="8"/>
        <v>&amp;</v>
      </c>
      <c r="S118" s="208" t="str">
        <f t="shared" si="9"/>
        <v>&amp;</v>
      </c>
    </row>
    <row r="119" spans="7:27" x14ac:dyDescent="0.25">
      <c r="G119" s="75" t="str">
        <f t="shared" si="6"/>
        <v>&amp;</v>
      </c>
      <c r="H119" s="208" t="str">
        <f t="shared" si="7"/>
        <v>&amp;</v>
      </c>
      <c r="R119" s="75" t="str">
        <f t="shared" si="8"/>
        <v>&amp;</v>
      </c>
      <c r="S119" s="208" t="str">
        <f t="shared" si="9"/>
        <v>&amp;</v>
      </c>
    </row>
    <row r="120" spans="7:27" x14ac:dyDescent="0.25">
      <c r="G120" s="75" t="str">
        <f t="shared" si="6"/>
        <v xml:space="preserve">&amp;BW LB </v>
      </c>
      <c r="H120" s="208" t="str">
        <f t="shared" si="7"/>
        <v>&amp;</v>
      </c>
      <c r="K120" s="12" t="s">
        <v>56</v>
      </c>
      <c r="L120" s="13"/>
      <c r="M120" s="12"/>
      <c r="N120" s="13"/>
      <c r="O120" s="14" t="s">
        <v>71</v>
      </c>
      <c r="P120" s="11"/>
      <c r="R120" s="75" t="str">
        <f t="shared" si="8"/>
        <v xml:space="preserve">&amp;BW LB </v>
      </c>
      <c r="S120" s="208" t="str">
        <f t="shared" si="9"/>
        <v>&amp;</v>
      </c>
      <c r="V120" s="12" t="s">
        <v>56</v>
      </c>
      <c r="W120" s="13"/>
      <c r="X120" s="12"/>
      <c r="Y120" s="13"/>
      <c r="Z120" s="14" t="s">
        <v>71</v>
      </c>
      <c r="AA120" s="11"/>
    </row>
    <row r="121" spans="7:27" x14ac:dyDescent="0.25">
      <c r="G121" s="75" t="str">
        <f t="shared" si="6"/>
        <v>&amp;UKURAN AU</v>
      </c>
      <c r="H121" s="208" t="str">
        <f t="shared" si="7"/>
        <v>&amp;</v>
      </c>
      <c r="K121" s="15" t="s">
        <v>57</v>
      </c>
      <c r="L121" s="16"/>
      <c r="M121" s="17" t="s">
        <v>59</v>
      </c>
      <c r="N121" s="16"/>
      <c r="O121" s="17" t="s">
        <v>60</v>
      </c>
      <c r="P121" s="17" t="s">
        <v>61</v>
      </c>
      <c r="R121" s="75" t="str">
        <f t="shared" si="8"/>
        <v>&amp;UKURAN AU</v>
      </c>
      <c r="S121" s="208" t="str">
        <f t="shared" si="9"/>
        <v>&amp;</v>
      </c>
      <c r="V121" s="15" t="s">
        <v>57</v>
      </c>
      <c r="W121" s="16"/>
      <c r="X121" s="17" t="s">
        <v>59</v>
      </c>
      <c r="Y121" s="16"/>
      <c r="Z121" s="17" t="s">
        <v>60</v>
      </c>
      <c r="AA121" s="17" t="s">
        <v>61</v>
      </c>
    </row>
    <row r="122" spans="7:27" x14ac:dyDescent="0.25">
      <c r="G122" s="75" t="str">
        <f t="shared" si="6"/>
        <v>1.8 – 2.0&amp;UNDER 04</v>
      </c>
      <c r="H122" s="208" t="str">
        <f t="shared" si="7"/>
        <v>1.8 – 2.0&amp;0</v>
      </c>
      <c r="I122" s="75" t="s">
        <v>71</v>
      </c>
      <c r="J122" s="75">
        <f>'SETTING PRODUKSI Januari'!AT13</f>
        <v>0</v>
      </c>
      <c r="K122" s="18" t="s">
        <v>63</v>
      </c>
      <c r="L122" s="19">
        <v>0</v>
      </c>
      <c r="M122" s="20">
        <v>0</v>
      </c>
      <c r="N122" s="19"/>
      <c r="O122" s="20">
        <v>0</v>
      </c>
      <c r="P122" s="22">
        <v>0</v>
      </c>
      <c r="R122" s="75" t="str">
        <f t="shared" si="8"/>
        <v>1.8 – 2.0&amp;UNDER 04</v>
      </c>
      <c r="S122" s="208" t="str">
        <f t="shared" si="9"/>
        <v>1.8 – 2.0&amp;0</v>
      </c>
      <c r="T122" s="75" t="s">
        <v>71</v>
      </c>
      <c r="U122" s="75">
        <f>'SETTING PRODUKSI Januari'!AT41</f>
        <v>0</v>
      </c>
      <c r="V122" s="18" t="s">
        <v>63</v>
      </c>
      <c r="W122" s="19">
        <v>0</v>
      </c>
      <c r="X122" s="20">
        <v>0</v>
      </c>
      <c r="Y122" s="19"/>
      <c r="Z122" s="20">
        <v>0</v>
      </c>
      <c r="AA122" s="22">
        <v>0</v>
      </c>
    </row>
    <row r="123" spans="7:27" x14ac:dyDescent="0.25">
      <c r="G123" s="75" t="str">
        <f t="shared" si="6"/>
        <v>1.8 – 2.0&amp;04 – 05</v>
      </c>
      <c r="H123" s="208" t="str">
        <f t="shared" si="7"/>
        <v>1.8 – 2.0&amp;0</v>
      </c>
      <c r="I123" s="75" t="s">
        <v>71</v>
      </c>
      <c r="J123" s="75">
        <f>'SETTING PRODUKSI Januari'!AT14</f>
        <v>0</v>
      </c>
      <c r="K123" s="24" t="s">
        <v>65</v>
      </c>
      <c r="L123" s="19">
        <v>0</v>
      </c>
      <c r="M123" s="20">
        <v>0</v>
      </c>
      <c r="N123" s="19"/>
      <c r="O123" s="20">
        <v>0</v>
      </c>
      <c r="P123" s="22">
        <v>0</v>
      </c>
      <c r="R123" s="75" t="str">
        <f t="shared" si="8"/>
        <v>1.8 – 2.0&amp;04 – 05</v>
      </c>
      <c r="S123" s="208" t="str">
        <f t="shared" si="9"/>
        <v>1.8 – 2.0&amp;0</v>
      </c>
      <c r="T123" s="75" t="s">
        <v>71</v>
      </c>
      <c r="U123" s="75">
        <f>'SETTING PRODUKSI Januari'!AT42</f>
        <v>0</v>
      </c>
      <c r="V123" s="24" t="s">
        <v>65</v>
      </c>
      <c r="W123" s="19">
        <v>0</v>
      </c>
      <c r="X123" s="20">
        <v>0</v>
      </c>
      <c r="Y123" s="19"/>
      <c r="Z123" s="20">
        <v>0</v>
      </c>
      <c r="AA123" s="22">
        <v>0</v>
      </c>
    </row>
    <row r="124" spans="7:27" x14ac:dyDescent="0.25">
      <c r="G124" s="75" t="str">
        <f t="shared" si="6"/>
        <v>1.8 – 2.0&amp;05 – 06</v>
      </c>
      <c r="H124" s="208" t="str">
        <f t="shared" si="7"/>
        <v>1.8 – 2.0&amp;0</v>
      </c>
      <c r="I124" s="75" t="s">
        <v>71</v>
      </c>
      <c r="J124" s="75">
        <f>'SETTING PRODUKSI Januari'!AT15</f>
        <v>0</v>
      </c>
      <c r="K124" s="18" t="s">
        <v>67</v>
      </c>
      <c r="L124" s="19">
        <v>0</v>
      </c>
      <c r="M124" s="20">
        <v>0</v>
      </c>
      <c r="N124" s="19"/>
      <c r="O124" s="20">
        <v>0</v>
      </c>
      <c r="P124" s="22">
        <v>0</v>
      </c>
      <c r="R124" s="75" t="str">
        <f t="shared" si="8"/>
        <v>1.8 – 2.0&amp;05 – 06</v>
      </c>
      <c r="S124" s="208" t="str">
        <f t="shared" si="9"/>
        <v>1.8 – 2.0&amp;0</v>
      </c>
      <c r="T124" s="75" t="s">
        <v>71</v>
      </c>
      <c r="U124" s="75">
        <f>'SETTING PRODUKSI Januari'!AT43</f>
        <v>0</v>
      </c>
      <c r="V124" s="18" t="s">
        <v>67</v>
      </c>
      <c r="W124" s="19">
        <v>0</v>
      </c>
      <c r="X124" s="20">
        <v>0</v>
      </c>
      <c r="Y124" s="19"/>
      <c r="Z124" s="20">
        <v>0</v>
      </c>
      <c r="AA124" s="22">
        <v>0</v>
      </c>
    </row>
    <row r="125" spans="7:27" x14ac:dyDescent="0.25">
      <c r="G125" s="75" t="str">
        <f t="shared" si="6"/>
        <v>1.8 – 2.0&amp;06 – 07</v>
      </c>
      <c r="H125" s="208" t="str">
        <f t="shared" si="7"/>
        <v>1.8 – 2.0&amp;0</v>
      </c>
      <c r="I125" s="75" t="s">
        <v>71</v>
      </c>
      <c r="J125" s="75">
        <f>'SETTING PRODUKSI Januari'!AT16</f>
        <v>0</v>
      </c>
      <c r="K125" s="24" t="s">
        <v>68</v>
      </c>
      <c r="L125" s="19">
        <v>0</v>
      </c>
      <c r="M125" s="20">
        <v>0</v>
      </c>
      <c r="N125" s="19"/>
      <c r="O125" s="20">
        <v>0</v>
      </c>
      <c r="P125" s="22">
        <v>0</v>
      </c>
      <c r="R125" s="75" t="str">
        <f t="shared" si="8"/>
        <v>1.8 – 2.0&amp;06 – 07</v>
      </c>
      <c r="S125" s="208" t="str">
        <f t="shared" si="9"/>
        <v>1.8 – 2.0&amp;0</v>
      </c>
      <c r="T125" s="75" t="s">
        <v>71</v>
      </c>
      <c r="U125" s="75">
        <f>'SETTING PRODUKSI Januari'!AT44</f>
        <v>0</v>
      </c>
      <c r="V125" s="24" t="s">
        <v>68</v>
      </c>
      <c r="W125" s="19">
        <v>0</v>
      </c>
      <c r="X125" s="20">
        <v>0</v>
      </c>
      <c r="Y125" s="19"/>
      <c r="Z125" s="20">
        <v>0</v>
      </c>
      <c r="AA125" s="22">
        <v>0</v>
      </c>
    </row>
    <row r="126" spans="7:27" x14ac:dyDescent="0.25">
      <c r="G126" s="75" t="str">
        <f t="shared" si="6"/>
        <v>1.8 – 2.0&amp;07 – 08</v>
      </c>
      <c r="H126" s="208" t="str">
        <f t="shared" si="7"/>
        <v>1.8 – 2.0&amp;0</v>
      </c>
      <c r="I126" s="75" t="s">
        <v>71</v>
      </c>
      <c r="J126" s="75">
        <f>'SETTING PRODUKSI Januari'!AT17</f>
        <v>0</v>
      </c>
      <c r="K126" s="18" t="s">
        <v>70</v>
      </c>
      <c r="L126" s="19">
        <v>0</v>
      </c>
      <c r="M126" s="20">
        <v>0</v>
      </c>
      <c r="N126" s="19"/>
      <c r="O126" s="20">
        <v>0</v>
      </c>
      <c r="P126" s="22">
        <v>0</v>
      </c>
      <c r="R126" s="75" t="str">
        <f t="shared" si="8"/>
        <v>1.8 – 2.0&amp;07 – 08</v>
      </c>
      <c r="S126" s="208" t="str">
        <f t="shared" si="9"/>
        <v>1.8 – 2.0&amp;0</v>
      </c>
      <c r="T126" s="75" t="s">
        <v>71</v>
      </c>
      <c r="U126" s="75">
        <f>'SETTING PRODUKSI Januari'!AT45</f>
        <v>0</v>
      </c>
      <c r="V126" s="18" t="s">
        <v>70</v>
      </c>
      <c r="W126" s="19">
        <v>0</v>
      </c>
      <c r="X126" s="20">
        <v>0</v>
      </c>
      <c r="Y126" s="19"/>
      <c r="Z126" s="20">
        <v>0</v>
      </c>
      <c r="AA126" s="22">
        <v>0</v>
      </c>
    </row>
    <row r="127" spans="7:27" x14ac:dyDescent="0.25">
      <c r="G127" s="75" t="str">
        <f t="shared" si="6"/>
        <v>1.8 – 2.0&amp;08 – 09</v>
      </c>
      <c r="H127" s="208" t="str">
        <f t="shared" si="7"/>
        <v>1.8 – 2.0&amp;0</v>
      </c>
      <c r="I127" s="75" t="s">
        <v>71</v>
      </c>
      <c r="J127" s="75">
        <f>'SETTING PRODUKSI Januari'!AT18</f>
        <v>0</v>
      </c>
      <c r="K127" s="24" t="s">
        <v>72</v>
      </c>
      <c r="L127" s="19">
        <v>0</v>
      </c>
      <c r="M127" s="20">
        <v>0</v>
      </c>
      <c r="N127" s="19"/>
      <c r="O127" s="20">
        <v>0</v>
      </c>
      <c r="P127" s="22">
        <v>0</v>
      </c>
      <c r="R127" s="75" t="str">
        <f t="shared" si="8"/>
        <v>1.8 – 2.0&amp;08 – 09</v>
      </c>
      <c r="S127" s="208" t="str">
        <f t="shared" si="9"/>
        <v>1.8 – 2.0&amp;0</v>
      </c>
      <c r="T127" s="75" t="s">
        <v>71</v>
      </c>
      <c r="U127" s="75">
        <f>'SETTING PRODUKSI Januari'!AT46</f>
        <v>0</v>
      </c>
      <c r="V127" s="24" t="s">
        <v>72</v>
      </c>
      <c r="W127" s="19">
        <v>0</v>
      </c>
      <c r="X127" s="20">
        <v>0</v>
      </c>
      <c r="Y127" s="19"/>
      <c r="Z127" s="20">
        <v>0</v>
      </c>
      <c r="AA127" s="22">
        <v>0</v>
      </c>
    </row>
    <row r="128" spans="7:27" x14ac:dyDescent="0.25">
      <c r="G128" s="75" t="str">
        <f t="shared" si="6"/>
        <v>1.8 – 2.0&amp;09 – 10</v>
      </c>
      <c r="H128" s="208" t="str">
        <f t="shared" si="7"/>
        <v>1.8 – 2.0&amp;0</v>
      </c>
      <c r="I128" s="75" t="s">
        <v>71</v>
      </c>
      <c r="J128" s="75">
        <f>'SETTING PRODUKSI Januari'!AT19</f>
        <v>0</v>
      </c>
      <c r="K128" s="18" t="s">
        <v>73</v>
      </c>
      <c r="L128" s="19">
        <v>0</v>
      </c>
      <c r="M128" s="20">
        <v>0</v>
      </c>
      <c r="N128" s="19"/>
      <c r="O128" s="20">
        <v>0</v>
      </c>
      <c r="P128" s="22">
        <v>0</v>
      </c>
      <c r="R128" s="75" t="str">
        <f t="shared" si="8"/>
        <v>1.8 – 2.0&amp;09 – 10</v>
      </c>
      <c r="S128" s="208" t="str">
        <f t="shared" si="9"/>
        <v>1.8 – 2.0&amp;0</v>
      </c>
      <c r="T128" s="75" t="s">
        <v>71</v>
      </c>
      <c r="U128" s="75">
        <f>'SETTING PRODUKSI Januari'!AT47</f>
        <v>0</v>
      </c>
      <c r="V128" s="18" t="s">
        <v>73</v>
      </c>
      <c r="W128" s="19">
        <v>0</v>
      </c>
      <c r="X128" s="20">
        <v>0</v>
      </c>
      <c r="Y128" s="19"/>
      <c r="Z128" s="20">
        <v>0</v>
      </c>
      <c r="AA128" s="22">
        <v>0</v>
      </c>
    </row>
    <row r="129" spans="7:27" x14ac:dyDescent="0.25">
      <c r="G129" s="75" t="str">
        <f t="shared" si="6"/>
        <v>1.8 – 2.0&amp;10 – 11</v>
      </c>
      <c r="H129" s="208" t="str">
        <f t="shared" si="7"/>
        <v>1.8 – 2.0&amp;0</v>
      </c>
      <c r="I129" s="75" t="s">
        <v>71</v>
      </c>
      <c r="J129" s="75">
        <f>'SETTING PRODUKSI Januari'!AT20</f>
        <v>0</v>
      </c>
      <c r="K129" s="25" t="s">
        <v>74</v>
      </c>
      <c r="L129" s="19">
        <f t="shared" ref="L129" si="10">M129*$F$116</f>
        <v>0</v>
      </c>
      <c r="M129" s="20">
        <v>0</v>
      </c>
      <c r="N129" s="19"/>
      <c r="O129" s="20">
        <v>0</v>
      </c>
      <c r="P129" s="22">
        <v>0</v>
      </c>
      <c r="R129" s="75" t="str">
        <f t="shared" si="8"/>
        <v>1.8 – 2.0&amp;10 – 11</v>
      </c>
      <c r="S129" s="208" t="str">
        <f t="shared" si="9"/>
        <v>1.8 – 2.0&amp;0</v>
      </c>
      <c r="T129" s="75" t="s">
        <v>71</v>
      </c>
      <c r="U129" s="75">
        <f>'SETTING PRODUKSI Januari'!AT48</f>
        <v>0</v>
      </c>
      <c r="V129" s="25" t="s">
        <v>74</v>
      </c>
      <c r="W129" s="19">
        <f t="shared" ref="W129" si="11">X129*$F$116</f>
        <v>0</v>
      </c>
      <c r="X129" s="20">
        <v>0</v>
      </c>
      <c r="Y129" s="19"/>
      <c r="Z129" s="20">
        <v>0</v>
      </c>
      <c r="AA129" s="22">
        <v>0</v>
      </c>
    </row>
    <row r="130" spans="7:27" x14ac:dyDescent="0.25">
      <c r="G130" s="75" t="str">
        <f t="shared" si="6"/>
        <v>1.8 – 2.0&amp;11 – 12</v>
      </c>
      <c r="H130" s="208" t="str">
        <f t="shared" si="7"/>
        <v>1.8 – 2.0&amp;0</v>
      </c>
      <c r="I130" s="75" t="s">
        <v>71</v>
      </c>
      <c r="J130" s="75">
        <f>'SETTING PRODUKSI Januari'!AT21</f>
        <v>0</v>
      </c>
      <c r="K130" s="26" t="s">
        <v>75</v>
      </c>
      <c r="L130" s="19">
        <f>M130*$F$116</f>
        <v>0</v>
      </c>
      <c r="M130" s="20">
        <v>0.01</v>
      </c>
      <c r="N130" s="19"/>
      <c r="O130" s="20">
        <v>0</v>
      </c>
      <c r="P130" s="20">
        <v>1.1098779134295227E-2</v>
      </c>
      <c r="R130" s="75" t="str">
        <f t="shared" si="8"/>
        <v>1.8 – 2.0&amp;11 – 12</v>
      </c>
      <c r="S130" s="208" t="str">
        <f t="shared" si="9"/>
        <v>1.8 – 2.0&amp;0</v>
      </c>
      <c r="T130" s="75" t="s">
        <v>71</v>
      </c>
      <c r="U130" s="75">
        <f>'SETTING PRODUKSI Januari'!AT49</f>
        <v>0</v>
      </c>
      <c r="V130" s="26" t="s">
        <v>75</v>
      </c>
      <c r="W130" s="19">
        <f>X130*$F$116</f>
        <v>0</v>
      </c>
      <c r="X130" s="20">
        <v>0.01</v>
      </c>
      <c r="Y130" s="19"/>
      <c r="Z130" s="20">
        <v>0</v>
      </c>
      <c r="AA130" s="20">
        <v>1.1098779134295227E-2</v>
      </c>
    </row>
    <row r="131" spans="7:27" x14ac:dyDescent="0.25">
      <c r="G131" s="75" t="str">
        <f t="shared" si="6"/>
        <v>1.8 – 2.0&amp;12 – 13</v>
      </c>
      <c r="H131" s="208" t="str">
        <f t="shared" si="7"/>
        <v>1.8 – 2.0&amp;0</v>
      </c>
      <c r="I131" s="75" t="s">
        <v>71</v>
      </c>
      <c r="J131" s="75">
        <f>'SETTING PRODUKSI Januari'!AT22</f>
        <v>0</v>
      </c>
      <c r="K131" s="25" t="s">
        <v>76</v>
      </c>
      <c r="L131" s="19">
        <f t="shared" ref="L131:L135" si="12">M131*$F$116</f>
        <v>0</v>
      </c>
      <c r="M131" s="20">
        <v>0.04</v>
      </c>
      <c r="N131" s="19"/>
      <c r="O131" s="20">
        <v>0</v>
      </c>
      <c r="P131" s="20">
        <v>0.05</v>
      </c>
      <c r="R131" s="75" t="str">
        <f t="shared" si="8"/>
        <v>1.8 – 2.0&amp;12 – 13</v>
      </c>
      <c r="S131" s="208" t="str">
        <f t="shared" si="9"/>
        <v>1.8 – 2.0&amp;0</v>
      </c>
      <c r="T131" s="75" t="s">
        <v>71</v>
      </c>
      <c r="U131" s="75">
        <f>'SETTING PRODUKSI Januari'!AT50</f>
        <v>0</v>
      </c>
      <c r="V131" s="25" t="s">
        <v>76</v>
      </c>
      <c r="W131" s="19">
        <f t="shared" ref="W131:W135" si="13">X131*$F$116</f>
        <v>0</v>
      </c>
      <c r="X131" s="20">
        <v>0.04</v>
      </c>
      <c r="Y131" s="19"/>
      <c r="Z131" s="20">
        <v>0</v>
      </c>
      <c r="AA131" s="20">
        <v>0.05</v>
      </c>
    </row>
    <row r="132" spans="7:27" x14ac:dyDescent="0.25">
      <c r="G132" s="75" t="str">
        <f t="shared" si="6"/>
        <v>1.8 – 2.0&amp;13 – 14</v>
      </c>
      <c r="H132" s="208" t="str">
        <f t="shared" si="7"/>
        <v>1.8 – 2.0&amp;0</v>
      </c>
      <c r="I132" s="75" t="s">
        <v>71</v>
      </c>
      <c r="J132" s="75">
        <f>'SETTING PRODUKSI Januari'!AT23</f>
        <v>0</v>
      </c>
      <c r="K132" s="18" t="s">
        <v>77</v>
      </c>
      <c r="L132" s="19">
        <f t="shared" si="12"/>
        <v>0</v>
      </c>
      <c r="M132" s="20">
        <v>7.0000000000000007E-2</v>
      </c>
      <c r="N132" s="19"/>
      <c r="O132" s="20">
        <v>0</v>
      </c>
      <c r="P132" s="20">
        <v>0.24306326304106549</v>
      </c>
      <c r="R132" s="75" t="str">
        <f t="shared" si="8"/>
        <v>1.8 – 2.0&amp;13 – 14</v>
      </c>
      <c r="S132" s="208" t="str">
        <f t="shared" si="9"/>
        <v>1.8 – 2.0&amp;0</v>
      </c>
      <c r="T132" s="75" t="s">
        <v>71</v>
      </c>
      <c r="U132" s="75">
        <f>'SETTING PRODUKSI Januari'!AT51</f>
        <v>0</v>
      </c>
      <c r="V132" s="18" t="s">
        <v>77</v>
      </c>
      <c r="W132" s="19">
        <f t="shared" si="13"/>
        <v>0</v>
      </c>
      <c r="X132" s="20">
        <v>7.0000000000000007E-2</v>
      </c>
      <c r="Y132" s="19"/>
      <c r="Z132" s="20">
        <v>0</v>
      </c>
      <c r="AA132" s="20">
        <v>0.24306326304106549</v>
      </c>
    </row>
    <row r="133" spans="7:27" x14ac:dyDescent="0.25">
      <c r="G133" s="75" t="str">
        <f t="shared" si="6"/>
        <v>1.8 – 2.0&amp;14 – 15</v>
      </c>
      <c r="H133" s="208" t="str">
        <f t="shared" si="7"/>
        <v>1.8 – 2.0&amp;0</v>
      </c>
      <c r="I133" s="75" t="s">
        <v>71</v>
      </c>
      <c r="J133" s="75">
        <f>'SETTING PRODUKSI Januari'!AT24</f>
        <v>0</v>
      </c>
      <c r="K133" s="24" t="s">
        <v>78</v>
      </c>
      <c r="L133" s="19">
        <f t="shared" si="12"/>
        <v>0</v>
      </c>
      <c r="M133" s="20">
        <v>0.14000000000000001</v>
      </c>
      <c r="N133" s="19"/>
      <c r="O133" s="20">
        <v>0</v>
      </c>
      <c r="P133" s="20">
        <v>0.33629300776914539</v>
      </c>
      <c r="R133" s="75" t="str">
        <f t="shared" si="8"/>
        <v>1.8 – 2.0&amp;14 – 15</v>
      </c>
      <c r="S133" s="208" t="str">
        <f t="shared" si="9"/>
        <v>1.8 – 2.0&amp;0</v>
      </c>
      <c r="T133" s="75" t="s">
        <v>71</v>
      </c>
      <c r="U133" s="75">
        <f>'SETTING PRODUKSI Januari'!AT52</f>
        <v>0</v>
      </c>
      <c r="V133" s="24" t="s">
        <v>78</v>
      </c>
      <c r="W133" s="19">
        <f t="shared" si="13"/>
        <v>0</v>
      </c>
      <c r="X133" s="20">
        <v>0.14000000000000001</v>
      </c>
      <c r="Y133" s="19"/>
      <c r="Z133" s="20">
        <v>0</v>
      </c>
      <c r="AA133" s="20">
        <v>0.33629300776914539</v>
      </c>
    </row>
    <row r="134" spans="7:27" x14ac:dyDescent="0.25">
      <c r="G134" s="75" t="str">
        <f t="shared" si="6"/>
        <v>1.8 – 2.0&amp;15 – 16</v>
      </c>
      <c r="H134" s="208" t="str">
        <f t="shared" si="7"/>
        <v>1.8 – 2.0&amp;0</v>
      </c>
      <c r="I134" s="75" t="s">
        <v>71</v>
      </c>
      <c r="J134" s="75">
        <f>'SETTING PRODUKSI Januari'!AT25</f>
        <v>0</v>
      </c>
      <c r="K134" s="18" t="s">
        <v>79</v>
      </c>
      <c r="L134" s="19">
        <f t="shared" si="12"/>
        <v>0</v>
      </c>
      <c r="M134" s="20">
        <v>0.22</v>
      </c>
      <c r="N134" s="19"/>
      <c r="O134" s="20">
        <v>0</v>
      </c>
      <c r="P134" s="20">
        <v>0.22530521642619311</v>
      </c>
      <c r="R134" s="75" t="str">
        <f t="shared" si="8"/>
        <v>1.8 – 2.0&amp;15 – 16</v>
      </c>
      <c r="S134" s="208" t="str">
        <f t="shared" si="9"/>
        <v>1.8 – 2.0&amp;0</v>
      </c>
      <c r="T134" s="75" t="s">
        <v>71</v>
      </c>
      <c r="U134" s="75">
        <f>'SETTING PRODUKSI Januari'!AT53</f>
        <v>0</v>
      </c>
      <c r="V134" s="18" t="s">
        <v>79</v>
      </c>
      <c r="W134" s="19">
        <f t="shared" si="13"/>
        <v>0</v>
      </c>
      <c r="X134" s="20">
        <v>0.22</v>
      </c>
      <c r="Y134" s="19"/>
      <c r="Z134" s="20">
        <v>0</v>
      </c>
      <c r="AA134" s="20">
        <v>0.22530521642619311</v>
      </c>
    </row>
    <row r="135" spans="7:27" x14ac:dyDescent="0.25">
      <c r="G135" s="75" t="str">
        <f t="shared" ref="G135:G154" si="14">I135&amp;"&amp;"&amp;K135</f>
        <v>1.8 – 2.0&amp;16 - 17</v>
      </c>
      <c r="H135" s="208" t="str">
        <f t="shared" ref="H135:H154" si="15">I135&amp;"&amp;"&amp;J135</f>
        <v>1.8 – 2.0&amp;0</v>
      </c>
      <c r="I135" s="75" t="s">
        <v>71</v>
      </c>
      <c r="J135" s="75">
        <f>'SETTING PRODUKSI Januari'!AT26</f>
        <v>0</v>
      </c>
      <c r="K135" s="24" t="s">
        <v>339</v>
      </c>
      <c r="L135" s="19">
        <f t="shared" si="12"/>
        <v>0</v>
      </c>
      <c r="M135" s="20">
        <v>0.52</v>
      </c>
      <c r="N135" s="19"/>
      <c r="O135" s="20">
        <v>0</v>
      </c>
      <c r="P135" s="20">
        <v>0.13</v>
      </c>
      <c r="R135" s="75" t="str">
        <f t="shared" ref="R135:R176" si="16">T135&amp;"&amp;"&amp;V135</f>
        <v>1.8 – 2.0&amp;16 - 17</v>
      </c>
      <c r="S135" s="208" t="str">
        <f t="shared" ref="S135:S176" si="17">T135&amp;"&amp;"&amp;U135</f>
        <v>1.8 – 2.0&amp;0</v>
      </c>
      <c r="T135" s="75" t="s">
        <v>71</v>
      </c>
      <c r="U135" s="75">
        <f>'SETTING PRODUKSI Januari'!AT54</f>
        <v>0</v>
      </c>
      <c r="V135" s="24" t="s">
        <v>339</v>
      </c>
      <c r="W135" s="19">
        <f t="shared" si="13"/>
        <v>0</v>
      </c>
      <c r="X135" s="20">
        <v>0.52</v>
      </c>
      <c r="Y135" s="19"/>
      <c r="Z135" s="20">
        <v>0</v>
      </c>
      <c r="AA135" s="20">
        <v>0.13</v>
      </c>
    </row>
    <row r="136" spans="7:27" x14ac:dyDescent="0.25">
      <c r="G136" s="75" t="str">
        <f t="shared" si="14"/>
        <v>&amp;Total</v>
      </c>
      <c r="H136" s="208" t="str">
        <f t="shared" si="15"/>
        <v>&amp;</v>
      </c>
      <c r="K136" s="28" t="s">
        <v>80</v>
      </c>
      <c r="L136" s="29"/>
      <c r="M136" s="33">
        <f>SUM(M122:M135)</f>
        <v>1</v>
      </c>
      <c r="N136" s="29"/>
      <c r="O136" s="33"/>
      <c r="P136" s="33"/>
      <c r="R136" s="75" t="str">
        <f t="shared" si="16"/>
        <v>&amp;Total</v>
      </c>
      <c r="S136" s="208" t="str">
        <f t="shared" si="17"/>
        <v>&amp;</v>
      </c>
      <c r="V136" s="28" t="s">
        <v>80</v>
      </c>
      <c r="W136" s="29"/>
      <c r="X136" s="33">
        <f>SUM(X122:X135)</f>
        <v>1</v>
      </c>
      <c r="Y136" s="29"/>
      <c r="Z136" s="33"/>
      <c r="AA136" s="33"/>
    </row>
    <row r="137" spans="7:27" x14ac:dyDescent="0.25">
      <c r="G137" s="75" t="str">
        <f t="shared" si="14"/>
        <v>&amp;</v>
      </c>
      <c r="H137" s="208" t="str">
        <f t="shared" si="15"/>
        <v>&amp;</v>
      </c>
      <c r="R137" s="75" t="str">
        <f t="shared" si="16"/>
        <v>&amp;</v>
      </c>
      <c r="S137" s="208" t="str">
        <f t="shared" si="17"/>
        <v>&amp;</v>
      </c>
    </row>
    <row r="138" spans="7:27" x14ac:dyDescent="0.25">
      <c r="G138" s="75" t="str">
        <f t="shared" si="14"/>
        <v>&amp;</v>
      </c>
      <c r="H138" s="208" t="str">
        <f t="shared" si="15"/>
        <v>&amp;</v>
      </c>
      <c r="R138" s="75" t="str">
        <f t="shared" si="16"/>
        <v>&amp;</v>
      </c>
      <c r="S138" s="208" t="str">
        <f t="shared" si="17"/>
        <v>&amp;</v>
      </c>
    </row>
    <row r="139" spans="7:27" x14ac:dyDescent="0.25">
      <c r="G139" s="75" t="str">
        <f t="shared" si="14"/>
        <v xml:space="preserve">&amp;BW LB </v>
      </c>
      <c r="H139" s="208" t="str">
        <f t="shared" si="15"/>
        <v>&amp;</v>
      </c>
      <c r="K139" s="12" t="s">
        <v>56</v>
      </c>
      <c r="L139" s="13"/>
      <c r="M139" s="12"/>
      <c r="N139" s="13"/>
      <c r="O139" s="14" t="s">
        <v>357</v>
      </c>
      <c r="P139" s="11"/>
      <c r="R139" s="75" t="str">
        <f t="shared" si="16"/>
        <v xml:space="preserve">&amp;BW LB </v>
      </c>
      <c r="S139" s="208" t="str">
        <f t="shared" si="17"/>
        <v>&amp;</v>
      </c>
      <c r="V139" s="12" t="s">
        <v>56</v>
      </c>
      <c r="W139" s="13"/>
      <c r="X139" s="12"/>
      <c r="Y139" s="13"/>
      <c r="Z139" s="14" t="s">
        <v>357</v>
      </c>
      <c r="AA139" s="11"/>
    </row>
    <row r="140" spans="7:27" x14ac:dyDescent="0.25">
      <c r="G140" s="75" t="str">
        <f t="shared" si="14"/>
        <v>&amp;UKURAN AU</v>
      </c>
      <c r="H140" s="208" t="str">
        <f t="shared" si="15"/>
        <v>&amp;</v>
      </c>
      <c r="K140" s="15" t="s">
        <v>57</v>
      </c>
      <c r="L140" s="16"/>
      <c r="M140" s="17" t="s">
        <v>59</v>
      </c>
      <c r="N140" s="16"/>
      <c r="O140" s="17" t="s">
        <v>60</v>
      </c>
      <c r="P140" s="17" t="s">
        <v>61</v>
      </c>
      <c r="R140" s="75" t="str">
        <f t="shared" si="16"/>
        <v>&amp;UKURAN AU</v>
      </c>
      <c r="S140" s="208" t="str">
        <f t="shared" si="17"/>
        <v>&amp;</v>
      </c>
      <c r="V140" s="15" t="s">
        <v>57</v>
      </c>
      <c r="W140" s="16"/>
      <c r="X140" s="17" t="s">
        <v>59</v>
      </c>
      <c r="Y140" s="16"/>
      <c r="Z140" s="17" t="s">
        <v>60</v>
      </c>
      <c r="AA140" s="17" t="s">
        <v>61</v>
      </c>
    </row>
    <row r="141" spans="7:27" x14ac:dyDescent="0.25">
      <c r="G141" s="75" t="str">
        <f t="shared" si="14"/>
        <v>2.2 – 2.6&amp;UNDER 04</v>
      </c>
      <c r="H141" s="208" t="str">
        <f t="shared" si="15"/>
        <v>2.2 – 2.6&amp;0</v>
      </c>
      <c r="I141" s="75" t="s">
        <v>357</v>
      </c>
      <c r="J141">
        <f>'SETTING PRODUKSI Januari'!AW13</f>
        <v>0</v>
      </c>
      <c r="K141" s="18" t="s">
        <v>63</v>
      </c>
      <c r="L141" s="19">
        <v>0</v>
      </c>
      <c r="M141" s="20">
        <v>0</v>
      </c>
      <c r="N141" s="19"/>
      <c r="O141" s="20">
        <v>0</v>
      </c>
      <c r="P141" s="22">
        <v>0</v>
      </c>
      <c r="R141" s="75" t="str">
        <f t="shared" si="16"/>
        <v>2.2 – 2.6&amp;UNDER 04</v>
      </c>
      <c r="S141" s="208" t="str">
        <f t="shared" si="17"/>
        <v>2.2 – 2.6&amp;0</v>
      </c>
      <c r="T141" s="75" t="s">
        <v>357</v>
      </c>
      <c r="U141">
        <f>'SETTING PRODUKSI Januari'!AW41</f>
        <v>0</v>
      </c>
      <c r="V141" s="18" t="s">
        <v>63</v>
      </c>
      <c r="W141" s="19">
        <v>0</v>
      </c>
      <c r="X141" s="20">
        <v>0</v>
      </c>
      <c r="Y141" s="19"/>
      <c r="Z141" s="20">
        <v>0</v>
      </c>
      <c r="AA141" s="22">
        <v>0</v>
      </c>
    </row>
    <row r="142" spans="7:27" x14ac:dyDescent="0.25">
      <c r="G142" s="75" t="str">
        <f t="shared" si="14"/>
        <v>2.2 – 2.6&amp;04 – 05</v>
      </c>
      <c r="H142" s="208" t="str">
        <f t="shared" si="15"/>
        <v>2.2 – 2.6&amp;0</v>
      </c>
      <c r="I142" s="75" t="s">
        <v>357</v>
      </c>
      <c r="J142">
        <f>'SETTING PRODUKSI Januari'!AW14</f>
        <v>0</v>
      </c>
      <c r="K142" s="24" t="s">
        <v>65</v>
      </c>
      <c r="L142" s="19">
        <v>0</v>
      </c>
      <c r="M142" s="20">
        <v>0</v>
      </c>
      <c r="N142" s="19"/>
      <c r="O142" s="20">
        <v>0</v>
      </c>
      <c r="P142" s="22">
        <v>0</v>
      </c>
      <c r="R142" s="75" t="str">
        <f t="shared" si="16"/>
        <v>2.2 – 2.6&amp;04 – 05</v>
      </c>
      <c r="S142" s="208" t="str">
        <f t="shared" si="17"/>
        <v>2.2 – 2.6&amp;0</v>
      </c>
      <c r="T142" s="75" t="s">
        <v>357</v>
      </c>
      <c r="U142">
        <f>'SETTING PRODUKSI Januari'!AW42</f>
        <v>0</v>
      </c>
      <c r="V142" s="24" t="s">
        <v>65</v>
      </c>
      <c r="W142" s="19">
        <v>0</v>
      </c>
      <c r="X142" s="20">
        <v>0</v>
      </c>
      <c r="Y142" s="19"/>
      <c r="Z142" s="20">
        <v>0</v>
      </c>
      <c r="AA142" s="22">
        <v>0</v>
      </c>
    </row>
    <row r="143" spans="7:27" x14ac:dyDescent="0.25">
      <c r="G143" s="75" t="str">
        <f t="shared" si="14"/>
        <v>2.2 – 2.6&amp;05 – 06</v>
      </c>
      <c r="H143" s="208" t="str">
        <f t="shared" si="15"/>
        <v>2.2 – 2.6&amp;0</v>
      </c>
      <c r="I143" s="75" t="s">
        <v>357</v>
      </c>
      <c r="J143">
        <f>'SETTING PRODUKSI Januari'!AW15</f>
        <v>0</v>
      </c>
      <c r="K143" s="18" t="s">
        <v>67</v>
      </c>
      <c r="L143" s="19">
        <v>0</v>
      </c>
      <c r="M143" s="20">
        <v>0</v>
      </c>
      <c r="N143" s="19"/>
      <c r="O143" s="20">
        <v>0</v>
      </c>
      <c r="P143" s="22">
        <v>0</v>
      </c>
      <c r="R143" s="75" t="str">
        <f t="shared" si="16"/>
        <v>2.2 – 2.6&amp;05 – 06</v>
      </c>
      <c r="S143" s="208" t="str">
        <f t="shared" si="17"/>
        <v>2.2 – 2.6&amp;0</v>
      </c>
      <c r="T143" s="75" t="s">
        <v>357</v>
      </c>
      <c r="U143">
        <f>'SETTING PRODUKSI Januari'!AW43</f>
        <v>0</v>
      </c>
      <c r="V143" s="18" t="s">
        <v>67</v>
      </c>
      <c r="W143" s="19">
        <v>0</v>
      </c>
      <c r="X143" s="20">
        <v>0</v>
      </c>
      <c r="Y143" s="19"/>
      <c r="Z143" s="20">
        <v>0</v>
      </c>
      <c r="AA143" s="22">
        <v>0</v>
      </c>
    </row>
    <row r="144" spans="7:27" x14ac:dyDescent="0.25">
      <c r="G144" s="75" t="str">
        <f t="shared" si="14"/>
        <v>2.2 – 2.6&amp;06 – 07</v>
      </c>
      <c r="H144" s="208" t="str">
        <f t="shared" si="15"/>
        <v>2.2 – 2.6&amp;0</v>
      </c>
      <c r="I144" s="75" t="s">
        <v>357</v>
      </c>
      <c r="J144">
        <f>'SETTING PRODUKSI Januari'!AW16</f>
        <v>0</v>
      </c>
      <c r="K144" s="24" t="s">
        <v>68</v>
      </c>
      <c r="L144" s="19">
        <v>0</v>
      </c>
      <c r="M144" s="20">
        <v>0</v>
      </c>
      <c r="N144" s="19"/>
      <c r="O144" s="20">
        <v>0</v>
      </c>
      <c r="P144" s="22">
        <v>0</v>
      </c>
      <c r="R144" s="75" t="str">
        <f t="shared" si="16"/>
        <v>2.2 – 2.6&amp;06 – 07</v>
      </c>
      <c r="S144" s="208" t="str">
        <f t="shared" si="17"/>
        <v>2.2 – 2.6&amp;0</v>
      </c>
      <c r="T144" s="75" t="s">
        <v>357</v>
      </c>
      <c r="U144">
        <f>'SETTING PRODUKSI Januari'!AW44</f>
        <v>0</v>
      </c>
      <c r="V144" s="24" t="s">
        <v>68</v>
      </c>
      <c r="W144" s="19">
        <v>0</v>
      </c>
      <c r="X144" s="20">
        <v>0</v>
      </c>
      <c r="Y144" s="19"/>
      <c r="Z144" s="20">
        <v>0</v>
      </c>
      <c r="AA144" s="22">
        <v>0</v>
      </c>
    </row>
    <row r="145" spans="7:27" x14ac:dyDescent="0.25">
      <c r="G145" s="75" t="str">
        <f t="shared" si="14"/>
        <v>2.2 – 2.6&amp;07 – 08</v>
      </c>
      <c r="H145" s="208" t="str">
        <f t="shared" si="15"/>
        <v>2.2 – 2.6&amp;0</v>
      </c>
      <c r="I145" s="75" t="s">
        <v>357</v>
      </c>
      <c r="J145">
        <f>'SETTING PRODUKSI Januari'!AW17</f>
        <v>0</v>
      </c>
      <c r="K145" s="18" t="s">
        <v>70</v>
      </c>
      <c r="L145" s="19">
        <v>0</v>
      </c>
      <c r="M145" s="20">
        <v>0</v>
      </c>
      <c r="N145" s="19"/>
      <c r="O145" s="20">
        <v>0</v>
      </c>
      <c r="P145" s="22">
        <v>0</v>
      </c>
      <c r="R145" s="75" t="str">
        <f t="shared" si="16"/>
        <v>2.2 – 2.6&amp;07 – 08</v>
      </c>
      <c r="S145" s="208" t="str">
        <f t="shared" si="17"/>
        <v>2.2 – 2.6&amp;0</v>
      </c>
      <c r="T145" s="75" t="s">
        <v>357</v>
      </c>
      <c r="U145">
        <f>'SETTING PRODUKSI Januari'!AW45</f>
        <v>0</v>
      </c>
      <c r="V145" s="18" t="s">
        <v>70</v>
      </c>
      <c r="W145" s="19">
        <v>0</v>
      </c>
      <c r="X145" s="20">
        <v>0</v>
      </c>
      <c r="Y145" s="19"/>
      <c r="Z145" s="20">
        <v>0</v>
      </c>
      <c r="AA145" s="22">
        <v>0</v>
      </c>
    </row>
    <row r="146" spans="7:27" x14ac:dyDescent="0.25">
      <c r="G146" s="75" t="str">
        <f t="shared" si="14"/>
        <v>2.2 – 2.6&amp;08 – 09</v>
      </c>
      <c r="H146" s="208" t="str">
        <f t="shared" si="15"/>
        <v>2.2 – 2.6&amp;0</v>
      </c>
      <c r="I146" s="75" t="s">
        <v>357</v>
      </c>
      <c r="J146">
        <f>'SETTING PRODUKSI Januari'!AW18</f>
        <v>0</v>
      </c>
      <c r="K146" s="24" t="s">
        <v>72</v>
      </c>
      <c r="L146" s="19">
        <v>0</v>
      </c>
      <c r="M146" s="20">
        <v>0</v>
      </c>
      <c r="N146" s="19"/>
      <c r="O146" s="20">
        <v>0</v>
      </c>
      <c r="P146" s="22">
        <v>0</v>
      </c>
      <c r="R146" s="75" t="str">
        <f t="shared" si="16"/>
        <v>2.2 – 2.6&amp;08 – 09</v>
      </c>
      <c r="S146" s="208" t="str">
        <f t="shared" si="17"/>
        <v>2.2 – 2.6&amp;0</v>
      </c>
      <c r="T146" s="75" t="s">
        <v>357</v>
      </c>
      <c r="U146">
        <f>'SETTING PRODUKSI Januari'!AW46</f>
        <v>0</v>
      </c>
      <c r="V146" s="24" t="s">
        <v>72</v>
      </c>
      <c r="W146" s="19">
        <v>0</v>
      </c>
      <c r="X146" s="20">
        <v>0</v>
      </c>
      <c r="Y146" s="19"/>
      <c r="Z146" s="20">
        <v>0</v>
      </c>
      <c r="AA146" s="22">
        <v>0</v>
      </c>
    </row>
    <row r="147" spans="7:27" x14ac:dyDescent="0.25">
      <c r="G147" s="75" t="str">
        <f t="shared" si="14"/>
        <v>2.2 – 2.6&amp;09 – 10</v>
      </c>
      <c r="H147" s="208" t="str">
        <f t="shared" si="15"/>
        <v>2.2 – 2.6&amp;0</v>
      </c>
      <c r="I147" s="75" t="s">
        <v>357</v>
      </c>
      <c r="J147">
        <f>'SETTING PRODUKSI Januari'!AW19</f>
        <v>0</v>
      </c>
      <c r="K147" s="18" t="s">
        <v>73</v>
      </c>
      <c r="L147" s="19">
        <v>0</v>
      </c>
      <c r="M147" s="20">
        <v>0</v>
      </c>
      <c r="N147" s="19"/>
      <c r="O147" s="20">
        <v>0</v>
      </c>
      <c r="P147" s="22">
        <v>0</v>
      </c>
      <c r="R147" s="75" t="str">
        <f t="shared" si="16"/>
        <v>2.2 – 2.6&amp;09 – 10</v>
      </c>
      <c r="S147" s="208" t="str">
        <f t="shared" si="17"/>
        <v>2.2 – 2.6&amp;0</v>
      </c>
      <c r="T147" s="75" t="s">
        <v>357</v>
      </c>
      <c r="U147">
        <f>'SETTING PRODUKSI Januari'!AW47</f>
        <v>0</v>
      </c>
      <c r="V147" s="18" t="s">
        <v>73</v>
      </c>
      <c r="W147" s="19">
        <v>0</v>
      </c>
      <c r="X147" s="20">
        <v>0</v>
      </c>
      <c r="Y147" s="19"/>
      <c r="Z147" s="20">
        <v>0</v>
      </c>
      <c r="AA147" s="22">
        <v>0</v>
      </c>
    </row>
    <row r="148" spans="7:27" x14ac:dyDescent="0.25">
      <c r="G148" s="75" t="str">
        <f t="shared" si="14"/>
        <v>2.2 – 2.6&amp;10 – 11</v>
      </c>
      <c r="H148" s="208" t="str">
        <f t="shared" si="15"/>
        <v>2.2 – 2.6&amp;0</v>
      </c>
      <c r="I148" s="75" t="s">
        <v>357</v>
      </c>
      <c r="J148">
        <f>'SETTING PRODUKSI Januari'!AW20</f>
        <v>0</v>
      </c>
      <c r="K148" s="25" t="s">
        <v>74</v>
      </c>
      <c r="L148" s="19">
        <f t="shared" ref="L148" si="18">M148*$F$116</f>
        <v>0</v>
      </c>
      <c r="M148" s="20">
        <v>0</v>
      </c>
      <c r="N148" s="19"/>
      <c r="O148" s="20">
        <v>0</v>
      </c>
      <c r="P148" s="22">
        <v>0</v>
      </c>
      <c r="R148" s="75" t="str">
        <f t="shared" si="16"/>
        <v>2.2 – 2.6&amp;10 – 11</v>
      </c>
      <c r="S148" s="208" t="str">
        <f t="shared" si="17"/>
        <v>2.2 – 2.6&amp;0</v>
      </c>
      <c r="T148" s="75" t="s">
        <v>357</v>
      </c>
      <c r="U148">
        <f>'SETTING PRODUKSI Januari'!AW48</f>
        <v>0</v>
      </c>
      <c r="V148" s="25" t="s">
        <v>74</v>
      </c>
      <c r="W148" s="19">
        <f t="shared" ref="W148" si="19">X148*$F$116</f>
        <v>0</v>
      </c>
      <c r="X148" s="20">
        <v>0</v>
      </c>
      <c r="Y148" s="19"/>
      <c r="Z148" s="20">
        <v>0</v>
      </c>
      <c r="AA148" s="22">
        <v>0</v>
      </c>
    </row>
    <row r="149" spans="7:27" x14ac:dyDescent="0.25">
      <c r="G149" s="75" t="str">
        <f t="shared" si="14"/>
        <v>2.2 – 2.6&amp;11 – 12</v>
      </c>
      <c r="H149" s="208" t="str">
        <f t="shared" si="15"/>
        <v>2.2 – 2.6&amp;0</v>
      </c>
      <c r="I149" s="75" t="s">
        <v>357</v>
      </c>
      <c r="J149">
        <f>'SETTING PRODUKSI Januari'!AW21</f>
        <v>0</v>
      </c>
      <c r="K149" s="26" t="s">
        <v>75</v>
      </c>
      <c r="L149" s="19">
        <f>M149*$F$116</f>
        <v>0</v>
      </c>
      <c r="M149" s="20">
        <v>0.01</v>
      </c>
      <c r="N149" s="19"/>
      <c r="O149" s="20">
        <v>0</v>
      </c>
      <c r="P149" s="20">
        <v>1.1098779134295227E-2</v>
      </c>
      <c r="R149" s="75" t="str">
        <f t="shared" si="16"/>
        <v>2.2 – 2.6&amp;11 – 12</v>
      </c>
      <c r="S149" s="208" t="str">
        <f t="shared" si="17"/>
        <v>2.2 – 2.6&amp;0</v>
      </c>
      <c r="T149" s="75" t="s">
        <v>357</v>
      </c>
      <c r="U149">
        <f>'SETTING PRODUKSI Januari'!AW49</f>
        <v>0</v>
      </c>
      <c r="V149" s="26" t="s">
        <v>75</v>
      </c>
      <c r="W149" s="19">
        <f>X149*$F$116</f>
        <v>0</v>
      </c>
      <c r="X149" s="20">
        <v>0.01</v>
      </c>
      <c r="Y149" s="19"/>
      <c r="Z149" s="20">
        <v>0</v>
      </c>
      <c r="AA149" s="20">
        <v>1.1098779134295227E-2</v>
      </c>
    </row>
    <row r="150" spans="7:27" x14ac:dyDescent="0.25">
      <c r="G150" s="75" t="str">
        <f t="shared" si="14"/>
        <v>2.2 – 2.6&amp;12 – 13</v>
      </c>
      <c r="H150" s="208" t="str">
        <f t="shared" si="15"/>
        <v>2.2 – 2.6&amp;0</v>
      </c>
      <c r="I150" s="75" t="s">
        <v>357</v>
      </c>
      <c r="J150">
        <f>'SETTING PRODUKSI Januari'!AW22</f>
        <v>0</v>
      </c>
      <c r="K150" s="25" t="s">
        <v>76</v>
      </c>
      <c r="L150" s="19">
        <f t="shared" ref="L150:L154" si="20">M150*$F$116</f>
        <v>0</v>
      </c>
      <c r="M150" s="20">
        <v>0.04</v>
      </c>
      <c r="N150" s="19"/>
      <c r="O150" s="20">
        <v>0</v>
      </c>
      <c r="P150" s="20">
        <v>0.05</v>
      </c>
      <c r="R150" s="75" t="str">
        <f t="shared" si="16"/>
        <v>2.2 – 2.6&amp;12 – 13</v>
      </c>
      <c r="S150" s="208" t="str">
        <f t="shared" si="17"/>
        <v>2.2 – 2.6&amp;0</v>
      </c>
      <c r="T150" s="75" t="s">
        <v>357</v>
      </c>
      <c r="U150">
        <f>'SETTING PRODUKSI Januari'!AW50</f>
        <v>0</v>
      </c>
      <c r="V150" s="25" t="s">
        <v>76</v>
      </c>
      <c r="W150" s="19">
        <f t="shared" ref="W150:W154" si="21">X150*$F$116</f>
        <v>0</v>
      </c>
      <c r="X150" s="20">
        <v>0.04</v>
      </c>
      <c r="Y150" s="19"/>
      <c r="Z150" s="20">
        <v>0</v>
      </c>
      <c r="AA150" s="20">
        <v>0.05</v>
      </c>
    </row>
    <row r="151" spans="7:27" x14ac:dyDescent="0.25">
      <c r="G151" s="75" t="str">
        <f t="shared" si="14"/>
        <v>2.2 – 2.6&amp;13 – 14</v>
      </c>
      <c r="H151" s="208" t="str">
        <f t="shared" si="15"/>
        <v>2.2 – 2.6&amp;0</v>
      </c>
      <c r="I151" s="75" t="s">
        <v>357</v>
      </c>
      <c r="J151">
        <f>'SETTING PRODUKSI Januari'!AW23</f>
        <v>0</v>
      </c>
      <c r="K151" s="18" t="s">
        <v>77</v>
      </c>
      <c r="L151" s="19">
        <f t="shared" si="20"/>
        <v>0</v>
      </c>
      <c r="M151" s="20">
        <v>7.0000000000000007E-2</v>
      </c>
      <c r="N151" s="19"/>
      <c r="O151" s="20">
        <v>0</v>
      </c>
      <c r="P151" s="20">
        <v>0.24306326304106549</v>
      </c>
      <c r="R151" s="75" t="str">
        <f t="shared" si="16"/>
        <v>2.2 – 2.6&amp;13 – 14</v>
      </c>
      <c r="S151" s="208" t="str">
        <f t="shared" si="17"/>
        <v>2.2 – 2.6&amp;0</v>
      </c>
      <c r="T151" s="75" t="s">
        <v>357</v>
      </c>
      <c r="U151">
        <f>'SETTING PRODUKSI Januari'!AW51</f>
        <v>0</v>
      </c>
      <c r="V151" s="18" t="s">
        <v>77</v>
      </c>
      <c r="W151" s="19">
        <f t="shared" si="21"/>
        <v>0</v>
      </c>
      <c r="X151" s="20">
        <v>7.0000000000000007E-2</v>
      </c>
      <c r="Y151" s="19"/>
      <c r="Z151" s="20">
        <v>0</v>
      </c>
      <c r="AA151" s="20">
        <v>0.24306326304106549</v>
      </c>
    </row>
    <row r="152" spans="7:27" x14ac:dyDescent="0.25">
      <c r="G152" s="75" t="str">
        <f t="shared" si="14"/>
        <v>2.2 – 2.6&amp;14 – 15</v>
      </c>
      <c r="H152" s="208" t="str">
        <f t="shared" si="15"/>
        <v>2.2 – 2.6&amp;0</v>
      </c>
      <c r="I152" s="75" t="s">
        <v>357</v>
      </c>
      <c r="J152">
        <f>'SETTING PRODUKSI Januari'!AW24</f>
        <v>0</v>
      </c>
      <c r="K152" s="24" t="s">
        <v>78</v>
      </c>
      <c r="L152" s="19">
        <f t="shared" si="20"/>
        <v>0</v>
      </c>
      <c r="M152" s="20">
        <v>0.14000000000000001</v>
      </c>
      <c r="N152" s="19"/>
      <c r="O152" s="20">
        <v>0</v>
      </c>
      <c r="P152" s="20">
        <v>0.33629300776914539</v>
      </c>
      <c r="R152" s="75" t="str">
        <f t="shared" si="16"/>
        <v>2.2 – 2.6&amp;14 – 15</v>
      </c>
      <c r="S152" s="208" t="str">
        <f t="shared" si="17"/>
        <v>2.2 – 2.6&amp;0</v>
      </c>
      <c r="T152" s="75" t="s">
        <v>357</v>
      </c>
      <c r="U152">
        <f>'SETTING PRODUKSI Januari'!AW52</f>
        <v>0</v>
      </c>
      <c r="V152" s="24" t="s">
        <v>78</v>
      </c>
      <c r="W152" s="19">
        <f t="shared" si="21"/>
        <v>0</v>
      </c>
      <c r="X152" s="20">
        <v>0.14000000000000001</v>
      </c>
      <c r="Y152" s="19"/>
      <c r="Z152" s="20">
        <v>0</v>
      </c>
      <c r="AA152" s="20">
        <v>0.33629300776914539</v>
      </c>
    </row>
    <row r="153" spans="7:27" x14ac:dyDescent="0.25">
      <c r="G153" s="75" t="str">
        <f t="shared" si="14"/>
        <v>2.2 – 2.6&amp;15 – 16</v>
      </c>
      <c r="H153" s="208" t="str">
        <f t="shared" si="15"/>
        <v>2.2 – 2.6&amp;1</v>
      </c>
      <c r="I153" s="75" t="s">
        <v>357</v>
      </c>
      <c r="J153">
        <f>'SETTING PRODUKSI Januari'!AW25</f>
        <v>1</v>
      </c>
      <c r="K153" s="18" t="s">
        <v>79</v>
      </c>
      <c r="L153" s="19">
        <f t="shared" si="20"/>
        <v>0</v>
      </c>
      <c r="M153" s="20">
        <v>0.22</v>
      </c>
      <c r="N153" s="19"/>
      <c r="O153" s="20">
        <v>0</v>
      </c>
      <c r="P153" s="20">
        <v>0.22530521642619311</v>
      </c>
      <c r="R153" s="75" t="str">
        <f t="shared" si="16"/>
        <v>2.2 – 2.6&amp;15 – 16</v>
      </c>
      <c r="S153" s="208" t="str">
        <f t="shared" si="17"/>
        <v>2.2 – 2.6&amp;0</v>
      </c>
      <c r="T153" s="75" t="s">
        <v>357</v>
      </c>
      <c r="U153">
        <f>'SETTING PRODUKSI Januari'!AW53</f>
        <v>0</v>
      </c>
      <c r="V153" s="18" t="s">
        <v>79</v>
      </c>
      <c r="W153" s="19">
        <f t="shared" si="21"/>
        <v>0</v>
      </c>
      <c r="X153" s="20">
        <v>0.22</v>
      </c>
      <c r="Y153" s="19"/>
      <c r="Z153" s="20">
        <v>0</v>
      </c>
      <c r="AA153" s="20">
        <v>0.22530521642619311</v>
      </c>
    </row>
    <row r="154" spans="7:27" x14ac:dyDescent="0.25">
      <c r="G154" s="75" t="str">
        <f t="shared" si="14"/>
        <v>2.2 – 2.6&amp;16 - 17</v>
      </c>
      <c r="H154" s="208" t="str">
        <f t="shared" si="15"/>
        <v>2.2 – 2.6&amp;1</v>
      </c>
      <c r="I154" s="75" t="s">
        <v>357</v>
      </c>
      <c r="J154">
        <f>'SETTING PRODUKSI Januari'!AW26</f>
        <v>1</v>
      </c>
      <c r="K154" s="24" t="s">
        <v>339</v>
      </c>
      <c r="L154" s="19">
        <f t="shared" si="20"/>
        <v>0</v>
      </c>
      <c r="M154" s="20">
        <v>0.52</v>
      </c>
      <c r="N154" s="19"/>
      <c r="O154" s="20">
        <v>0</v>
      </c>
      <c r="P154" s="20">
        <v>0.13</v>
      </c>
      <c r="R154" s="75" t="str">
        <f t="shared" si="16"/>
        <v>2.2 – 2.6&amp;16 - 17</v>
      </c>
      <c r="S154" s="208" t="str">
        <f t="shared" si="17"/>
        <v>2.2 – 2.6&amp;0</v>
      </c>
      <c r="T154" s="75" t="s">
        <v>357</v>
      </c>
      <c r="U154">
        <f>'SETTING PRODUKSI Januari'!AW54</f>
        <v>0</v>
      </c>
      <c r="V154" s="24" t="s">
        <v>339</v>
      </c>
      <c r="W154" s="19">
        <f t="shared" si="21"/>
        <v>0</v>
      </c>
      <c r="X154" s="20">
        <v>0.52</v>
      </c>
      <c r="Y154" s="19"/>
      <c r="Z154" s="20">
        <v>0</v>
      </c>
      <c r="AA154" s="20">
        <v>0.13</v>
      </c>
    </row>
    <row r="155" spans="7:27" x14ac:dyDescent="0.25">
      <c r="G155" s="75" t="str">
        <f t="shared" ref="G155:G176" si="22">I155&amp;"&amp;"&amp;K155</f>
        <v>&amp;Total</v>
      </c>
      <c r="H155" s="208" t="str">
        <f t="shared" ref="H155:H176" si="23">I155&amp;"&amp;"&amp;J155</f>
        <v>&amp;</v>
      </c>
      <c r="K155" s="28" t="s">
        <v>80</v>
      </c>
      <c r="L155" s="29"/>
      <c r="M155" s="33">
        <f>SUM(M141:M154)</f>
        <v>1</v>
      </c>
      <c r="N155" s="29"/>
      <c r="O155" s="33"/>
      <c r="P155" s="33"/>
      <c r="R155" s="75" t="str">
        <f t="shared" si="16"/>
        <v>&amp;Total</v>
      </c>
      <c r="S155" s="208" t="str">
        <f t="shared" si="17"/>
        <v>&amp;</v>
      </c>
      <c r="V155" s="28" t="s">
        <v>80</v>
      </c>
      <c r="W155" s="29"/>
      <c r="X155" s="33">
        <f>SUM(X141:X154)</f>
        <v>1</v>
      </c>
      <c r="Y155" s="29"/>
      <c r="Z155" s="33"/>
      <c r="AA155" s="33"/>
    </row>
    <row r="156" spans="7:27" x14ac:dyDescent="0.25">
      <c r="G156" s="75" t="str">
        <f t="shared" si="22"/>
        <v>&amp;</v>
      </c>
      <c r="H156" s="208" t="str">
        <f t="shared" si="23"/>
        <v>&amp;</v>
      </c>
      <c r="R156" s="75" t="str">
        <f t="shared" si="16"/>
        <v>&amp;</v>
      </c>
      <c r="S156" s="208" t="str">
        <f t="shared" si="17"/>
        <v>&amp;</v>
      </c>
    </row>
    <row r="157" spans="7:27" x14ac:dyDescent="0.25">
      <c r="G157" s="75" t="str">
        <f t="shared" si="22"/>
        <v>&amp;</v>
      </c>
      <c r="H157" s="208" t="str">
        <f t="shared" si="23"/>
        <v>&amp;</v>
      </c>
      <c r="R157" s="75" t="str">
        <f t="shared" si="16"/>
        <v>&amp;</v>
      </c>
      <c r="S157" s="208" t="str">
        <f t="shared" si="17"/>
        <v>&amp;</v>
      </c>
    </row>
    <row r="158" spans="7:27" x14ac:dyDescent="0.25">
      <c r="G158" s="75" t="str">
        <f t="shared" si="22"/>
        <v>&amp;</v>
      </c>
      <c r="H158" s="208" t="str">
        <f t="shared" si="23"/>
        <v>&amp;</v>
      </c>
      <c r="R158" s="75" t="str">
        <f t="shared" si="16"/>
        <v>&amp;</v>
      </c>
      <c r="S158" s="208" t="str">
        <f t="shared" si="17"/>
        <v>&amp;</v>
      </c>
    </row>
    <row r="159" spans="7:27" x14ac:dyDescent="0.25">
      <c r="G159" s="75" t="str">
        <f t="shared" si="22"/>
        <v xml:space="preserve">&amp;BW LB </v>
      </c>
      <c r="H159" s="208" t="str">
        <f t="shared" si="23"/>
        <v>&amp;</v>
      </c>
      <c r="K159" s="12" t="s">
        <v>56</v>
      </c>
      <c r="L159" s="13"/>
      <c r="M159" s="12"/>
      <c r="N159" s="13"/>
      <c r="O159" s="14" t="s">
        <v>363</v>
      </c>
      <c r="P159" s="11"/>
      <c r="R159" s="75" t="str">
        <f t="shared" si="16"/>
        <v xml:space="preserve">&amp;BW LB </v>
      </c>
      <c r="S159" s="208" t="str">
        <f t="shared" si="17"/>
        <v>&amp;</v>
      </c>
      <c r="V159" s="12" t="s">
        <v>56</v>
      </c>
      <c r="W159" s="13"/>
      <c r="X159" s="12"/>
      <c r="Y159" s="13"/>
      <c r="Z159" s="14" t="s">
        <v>363</v>
      </c>
      <c r="AA159" s="11"/>
    </row>
    <row r="160" spans="7:27" x14ac:dyDescent="0.25">
      <c r="G160" s="75" t="str">
        <f t="shared" si="22"/>
        <v>&amp;UKURAN AU</v>
      </c>
      <c r="H160" s="208" t="str">
        <f t="shared" si="23"/>
        <v>&amp;</v>
      </c>
      <c r="K160" s="15" t="s">
        <v>57</v>
      </c>
      <c r="L160" s="16"/>
      <c r="M160" s="17" t="s">
        <v>59</v>
      </c>
      <c r="N160" s="16"/>
      <c r="O160" s="17" t="s">
        <v>60</v>
      </c>
      <c r="P160" s="17" t="s">
        <v>61</v>
      </c>
      <c r="R160" s="75" t="str">
        <f t="shared" si="16"/>
        <v>&amp;UKURAN AU</v>
      </c>
      <c r="S160" s="208" t="str">
        <f t="shared" si="17"/>
        <v>&amp;</v>
      </c>
      <c r="V160" s="15" t="s">
        <v>57</v>
      </c>
      <c r="W160" s="16"/>
      <c r="X160" s="17" t="s">
        <v>59</v>
      </c>
      <c r="Y160" s="16"/>
      <c r="Z160" s="17" t="s">
        <v>60</v>
      </c>
      <c r="AA160" s="17" t="s">
        <v>61</v>
      </c>
    </row>
    <row r="161" spans="7:27" x14ac:dyDescent="0.25">
      <c r="G161" s="75" t="str">
        <f t="shared" si="22"/>
        <v>2.4 – 2.8&amp;UNDER 04</v>
      </c>
      <c r="H161" s="208" t="str">
        <f t="shared" si="23"/>
        <v>2.4 – 2.8&amp;</v>
      </c>
      <c r="I161" s="75" t="s">
        <v>363</v>
      </c>
      <c r="K161" s="18" t="s">
        <v>63</v>
      </c>
      <c r="L161" s="19">
        <v>0</v>
      </c>
      <c r="M161" s="20">
        <v>0</v>
      </c>
      <c r="N161" s="19"/>
      <c r="O161" s="20">
        <v>0</v>
      </c>
      <c r="P161" s="22">
        <v>0</v>
      </c>
      <c r="R161" s="75" t="str">
        <f t="shared" si="16"/>
        <v>2.4 – 2.8&amp;UNDER 04</v>
      </c>
      <c r="S161" s="208" t="str">
        <f t="shared" si="17"/>
        <v>2.4 – 2.8&amp;</v>
      </c>
      <c r="T161" s="75" t="s">
        <v>363</v>
      </c>
      <c r="V161" s="18" t="s">
        <v>63</v>
      </c>
      <c r="W161" s="19">
        <v>0</v>
      </c>
      <c r="X161" s="20">
        <v>0</v>
      </c>
      <c r="Y161" s="19"/>
      <c r="Z161" s="20">
        <v>0</v>
      </c>
      <c r="AA161" s="22">
        <v>0</v>
      </c>
    </row>
    <row r="162" spans="7:27" x14ac:dyDescent="0.25">
      <c r="G162" s="75" t="str">
        <f t="shared" si="22"/>
        <v>2.4 – 2.8&amp;04 – 05</v>
      </c>
      <c r="H162" s="208" t="str">
        <f t="shared" si="23"/>
        <v>2.4 – 2.8&amp;</v>
      </c>
      <c r="I162" s="75" t="s">
        <v>363</v>
      </c>
      <c r="K162" s="24" t="s">
        <v>65</v>
      </c>
      <c r="L162" s="19">
        <v>0</v>
      </c>
      <c r="M162" s="20">
        <v>0</v>
      </c>
      <c r="N162" s="19"/>
      <c r="O162" s="20">
        <v>0</v>
      </c>
      <c r="P162" s="22">
        <v>0</v>
      </c>
      <c r="R162" s="75" t="str">
        <f t="shared" si="16"/>
        <v>2.4 – 2.8&amp;04 – 05</v>
      </c>
      <c r="S162" s="208" t="str">
        <f t="shared" si="17"/>
        <v>2.4 – 2.8&amp;</v>
      </c>
      <c r="T162" s="75" t="s">
        <v>363</v>
      </c>
      <c r="V162" s="24" t="s">
        <v>65</v>
      </c>
      <c r="W162" s="19">
        <v>0</v>
      </c>
      <c r="X162" s="20">
        <v>0</v>
      </c>
      <c r="Y162" s="19"/>
      <c r="Z162" s="20">
        <v>0</v>
      </c>
      <c r="AA162" s="22">
        <v>0</v>
      </c>
    </row>
    <row r="163" spans="7:27" x14ac:dyDescent="0.25">
      <c r="G163" s="75" t="str">
        <f t="shared" si="22"/>
        <v>2.4 – 2.8&amp;05 – 06</v>
      </c>
      <c r="H163" s="208" t="str">
        <f t="shared" si="23"/>
        <v>2.4 – 2.8&amp;</v>
      </c>
      <c r="I163" s="75" t="s">
        <v>363</v>
      </c>
      <c r="K163" s="18" t="s">
        <v>67</v>
      </c>
      <c r="L163" s="19">
        <v>0</v>
      </c>
      <c r="M163" s="20">
        <v>0</v>
      </c>
      <c r="N163" s="19"/>
      <c r="O163" s="20">
        <v>0</v>
      </c>
      <c r="P163" s="22">
        <v>0</v>
      </c>
      <c r="R163" s="75" t="str">
        <f t="shared" si="16"/>
        <v>2.4 – 2.8&amp;05 – 06</v>
      </c>
      <c r="S163" s="208" t="str">
        <f t="shared" si="17"/>
        <v>2.4 – 2.8&amp;</v>
      </c>
      <c r="T163" s="75" t="s">
        <v>363</v>
      </c>
      <c r="V163" s="18" t="s">
        <v>67</v>
      </c>
      <c r="W163" s="19">
        <v>0</v>
      </c>
      <c r="X163" s="20">
        <v>0</v>
      </c>
      <c r="Y163" s="19"/>
      <c r="Z163" s="20">
        <v>0</v>
      </c>
      <c r="AA163" s="22">
        <v>0</v>
      </c>
    </row>
    <row r="164" spans="7:27" x14ac:dyDescent="0.25">
      <c r="G164" s="75" t="str">
        <f t="shared" si="22"/>
        <v>2.4 – 2.8&amp;06 – 07</v>
      </c>
      <c r="H164" s="208" t="str">
        <f t="shared" si="23"/>
        <v>2.4 – 2.8&amp;</v>
      </c>
      <c r="I164" s="75" t="s">
        <v>363</v>
      </c>
      <c r="K164" s="24" t="s">
        <v>68</v>
      </c>
      <c r="L164" s="19">
        <v>0</v>
      </c>
      <c r="M164" s="20">
        <v>0</v>
      </c>
      <c r="N164" s="19"/>
      <c r="O164" s="20">
        <v>0</v>
      </c>
      <c r="P164" s="22">
        <v>0</v>
      </c>
      <c r="R164" s="75" t="str">
        <f t="shared" si="16"/>
        <v>2.4 – 2.8&amp;06 – 07</v>
      </c>
      <c r="S164" s="208" t="str">
        <f t="shared" si="17"/>
        <v>2.4 – 2.8&amp;</v>
      </c>
      <c r="T164" s="75" t="s">
        <v>363</v>
      </c>
      <c r="V164" s="24" t="s">
        <v>68</v>
      </c>
      <c r="W164" s="19">
        <v>0</v>
      </c>
      <c r="X164" s="20">
        <v>0</v>
      </c>
      <c r="Y164" s="19"/>
      <c r="Z164" s="20">
        <v>0</v>
      </c>
      <c r="AA164" s="22">
        <v>0</v>
      </c>
    </row>
    <row r="165" spans="7:27" x14ac:dyDescent="0.25">
      <c r="G165" s="75" t="str">
        <f t="shared" si="22"/>
        <v>2.4 – 2.8&amp;07 – 08</v>
      </c>
      <c r="H165" s="208" t="str">
        <f t="shared" si="23"/>
        <v>2.4 – 2.8&amp;</v>
      </c>
      <c r="I165" s="75" t="s">
        <v>363</v>
      </c>
      <c r="K165" s="18" t="s">
        <v>70</v>
      </c>
      <c r="L165" s="19">
        <v>0</v>
      </c>
      <c r="M165" s="20">
        <v>0</v>
      </c>
      <c r="N165" s="19"/>
      <c r="O165" s="20">
        <v>0</v>
      </c>
      <c r="P165" s="22">
        <v>0</v>
      </c>
      <c r="R165" s="75" t="str">
        <f t="shared" si="16"/>
        <v>2.4 – 2.8&amp;07 – 08</v>
      </c>
      <c r="S165" s="208" t="str">
        <f t="shared" si="17"/>
        <v>2.4 – 2.8&amp;</v>
      </c>
      <c r="T165" s="75" t="s">
        <v>363</v>
      </c>
      <c r="V165" s="18" t="s">
        <v>70</v>
      </c>
      <c r="W165" s="19">
        <v>0</v>
      </c>
      <c r="X165" s="20">
        <v>0</v>
      </c>
      <c r="Y165" s="19"/>
      <c r="Z165" s="20">
        <v>0</v>
      </c>
      <c r="AA165" s="22">
        <v>0</v>
      </c>
    </row>
    <row r="166" spans="7:27" x14ac:dyDescent="0.25">
      <c r="G166" s="75" t="str">
        <f t="shared" si="22"/>
        <v>2.4 – 2.8&amp;08 – 09</v>
      </c>
      <c r="H166" s="208" t="str">
        <f t="shared" si="23"/>
        <v>2.4 – 2.8&amp;</v>
      </c>
      <c r="I166" s="75" t="s">
        <v>363</v>
      </c>
      <c r="K166" s="24" t="s">
        <v>72</v>
      </c>
      <c r="L166" s="19">
        <v>0</v>
      </c>
      <c r="M166" s="20">
        <v>0</v>
      </c>
      <c r="N166" s="19"/>
      <c r="O166" s="20">
        <v>0</v>
      </c>
      <c r="P166" s="22">
        <v>0</v>
      </c>
      <c r="R166" s="75" t="str">
        <f t="shared" si="16"/>
        <v>2.4 – 2.8&amp;08 – 09</v>
      </c>
      <c r="S166" s="208" t="str">
        <f t="shared" si="17"/>
        <v>2.4 – 2.8&amp;</v>
      </c>
      <c r="T166" s="75" t="s">
        <v>363</v>
      </c>
      <c r="V166" s="24" t="s">
        <v>72</v>
      </c>
      <c r="W166" s="19">
        <v>0</v>
      </c>
      <c r="X166" s="20">
        <v>0</v>
      </c>
      <c r="Y166" s="19"/>
      <c r="Z166" s="20">
        <v>0</v>
      </c>
      <c r="AA166" s="22">
        <v>0</v>
      </c>
    </row>
    <row r="167" spans="7:27" x14ac:dyDescent="0.25">
      <c r="G167" s="75" t="str">
        <f t="shared" si="22"/>
        <v>2.4 – 2.8&amp;09 – 10</v>
      </c>
      <c r="H167" s="208" t="str">
        <f t="shared" si="23"/>
        <v>2.4 – 2.8&amp;</v>
      </c>
      <c r="I167" s="75" t="s">
        <v>363</v>
      </c>
      <c r="K167" s="18" t="s">
        <v>73</v>
      </c>
      <c r="L167" s="19">
        <v>0</v>
      </c>
      <c r="M167" s="20">
        <v>0</v>
      </c>
      <c r="N167" s="19"/>
      <c r="O167" s="20">
        <v>0</v>
      </c>
      <c r="P167" s="22">
        <v>0</v>
      </c>
      <c r="R167" s="75" t="str">
        <f t="shared" si="16"/>
        <v>2.4 – 2.8&amp;09 – 10</v>
      </c>
      <c r="S167" s="208" t="str">
        <f t="shared" si="17"/>
        <v>2.4 – 2.8&amp;</v>
      </c>
      <c r="T167" s="75" t="s">
        <v>363</v>
      </c>
      <c r="V167" s="18" t="s">
        <v>73</v>
      </c>
      <c r="W167" s="19">
        <v>0</v>
      </c>
      <c r="X167" s="20">
        <v>0</v>
      </c>
      <c r="Y167" s="19"/>
      <c r="Z167" s="20">
        <v>0</v>
      </c>
      <c r="AA167" s="22">
        <v>0</v>
      </c>
    </row>
    <row r="168" spans="7:27" x14ac:dyDescent="0.25">
      <c r="G168" s="75" t="str">
        <f t="shared" si="22"/>
        <v>2.4 – 2.8&amp;10 – 11</v>
      </c>
      <c r="H168" s="208" t="str">
        <f t="shared" si="23"/>
        <v>2.4 – 2.8&amp;</v>
      </c>
      <c r="I168" s="75" t="s">
        <v>363</v>
      </c>
      <c r="K168" s="25" t="s">
        <v>74</v>
      </c>
      <c r="L168" s="19">
        <f t="shared" ref="L168" si="24">M168*$F$116</f>
        <v>0</v>
      </c>
      <c r="M168" s="20">
        <v>0</v>
      </c>
      <c r="N168" s="19"/>
      <c r="O168" s="20">
        <v>0</v>
      </c>
      <c r="P168" s="22">
        <v>0</v>
      </c>
      <c r="R168" s="75" t="str">
        <f t="shared" si="16"/>
        <v>2.4 – 2.8&amp;10 – 11</v>
      </c>
      <c r="S168" s="208" t="str">
        <f t="shared" si="17"/>
        <v>2.4 – 2.8&amp;</v>
      </c>
      <c r="T168" s="75" t="s">
        <v>363</v>
      </c>
      <c r="V168" s="25" t="s">
        <v>74</v>
      </c>
      <c r="W168" s="19">
        <f t="shared" ref="W168" si="25">X168*$F$116</f>
        <v>0</v>
      </c>
      <c r="X168" s="20">
        <v>0</v>
      </c>
      <c r="Y168" s="19"/>
      <c r="Z168" s="20">
        <v>0</v>
      </c>
      <c r="AA168" s="22">
        <v>0</v>
      </c>
    </row>
    <row r="169" spans="7:27" x14ac:dyDescent="0.25">
      <c r="G169" s="75" t="str">
        <f t="shared" si="22"/>
        <v>2.4 – 2.8&amp;11 – 12</v>
      </c>
      <c r="H169" s="208" t="str">
        <f t="shared" si="23"/>
        <v>2.4 – 2.8&amp;</v>
      </c>
      <c r="I169" s="75" t="s">
        <v>363</v>
      </c>
      <c r="K169" s="26" t="s">
        <v>75</v>
      </c>
      <c r="L169" s="19">
        <f>M169*$F$116</f>
        <v>0</v>
      </c>
      <c r="M169" s="20">
        <v>0</v>
      </c>
      <c r="N169" s="19"/>
      <c r="O169" s="20">
        <v>0</v>
      </c>
      <c r="P169" s="20">
        <v>1.1098779134295227E-2</v>
      </c>
      <c r="R169" s="75" t="str">
        <f t="shared" si="16"/>
        <v>2.4 – 2.8&amp;11 – 12</v>
      </c>
      <c r="S169" s="208" t="str">
        <f t="shared" si="17"/>
        <v>2.4 – 2.8&amp;</v>
      </c>
      <c r="T169" s="75" t="s">
        <v>363</v>
      </c>
      <c r="V169" s="26" t="s">
        <v>75</v>
      </c>
      <c r="W169" s="19">
        <f>X169*$F$116</f>
        <v>0</v>
      </c>
      <c r="X169" s="20">
        <v>0</v>
      </c>
      <c r="Y169" s="19"/>
      <c r="Z169" s="20">
        <v>0</v>
      </c>
      <c r="AA169" s="20">
        <v>1.1098779134295227E-2</v>
      </c>
    </row>
    <row r="170" spans="7:27" x14ac:dyDescent="0.25">
      <c r="G170" s="75" t="str">
        <f t="shared" si="22"/>
        <v>2.4 – 2.8&amp;12 – 13</v>
      </c>
      <c r="H170" s="208" t="str">
        <f t="shared" si="23"/>
        <v>2.4 – 2.8&amp;</v>
      </c>
      <c r="I170" s="75" t="s">
        <v>363</v>
      </c>
      <c r="K170" s="25" t="s">
        <v>76</v>
      </c>
      <c r="L170" s="19">
        <f t="shared" ref="L170:L174" si="26">M170*$F$116</f>
        <v>0</v>
      </c>
      <c r="M170" s="20">
        <v>0</v>
      </c>
      <c r="N170" s="19"/>
      <c r="O170" s="20">
        <v>0</v>
      </c>
      <c r="P170" s="20">
        <v>0.05</v>
      </c>
      <c r="R170" s="75" t="str">
        <f t="shared" si="16"/>
        <v>2.4 – 2.8&amp;12 – 13</v>
      </c>
      <c r="S170" s="208" t="str">
        <f t="shared" si="17"/>
        <v>2.4 – 2.8&amp;</v>
      </c>
      <c r="T170" s="75" t="s">
        <v>363</v>
      </c>
      <c r="V170" s="25" t="s">
        <v>76</v>
      </c>
      <c r="W170" s="19">
        <f t="shared" ref="W170:W174" si="27">X170*$F$116</f>
        <v>0</v>
      </c>
      <c r="X170" s="20">
        <v>0</v>
      </c>
      <c r="Y170" s="19"/>
      <c r="Z170" s="20">
        <v>0</v>
      </c>
      <c r="AA170" s="20">
        <v>0.05</v>
      </c>
    </row>
    <row r="171" spans="7:27" x14ac:dyDescent="0.25">
      <c r="G171" s="75" t="str">
        <f t="shared" si="22"/>
        <v>2.4 – 2.8&amp;13 – 14</v>
      </c>
      <c r="H171" s="208" t="str">
        <f t="shared" si="23"/>
        <v>2.4 – 2.8&amp;</v>
      </c>
      <c r="I171" s="75" t="s">
        <v>363</v>
      </c>
      <c r="K171" s="18" t="s">
        <v>77</v>
      </c>
      <c r="L171" s="19">
        <f t="shared" si="26"/>
        <v>0</v>
      </c>
      <c r="M171" s="20">
        <v>0</v>
      </c>
      <c r="N171" s="19"/>
      <c r="O171" s="20">
        <v>0</v>
      </c>
      <c r="P171" s="20">
        <v>0.24306326304106549</v>
      </c>
      <c r="R171" s="75" t="str">
        <f t="shared" si="16"/>
        <v>2.4 – 2.8&amp;13 – 14</v>
      </c>
      <c r="S171" s="208" t="str">
        <f t="shared" si="17"/>
        <v>2.4 – 2.8&amp;</v>
      </c>
      <c r="T171" s="75" t="s">
        <v>363</v>
      </c>
      <c r="V171" s="18" t="s">
        <v>77</v>
      </c>
      <c r="W171" s="19">
        <f t="shared" si="27"/>
        <v>0</v>
      </c>
      <c r="X171" s="20">
        <v>0</v>
      </c>
      <c r="Y171" s="19"/>
      <c r="Z171" s="20">
        <v>0</v>
      </c>
      <c r="AA171" s="20">
        <v>0.24306326304106549</v>
      </c>
    </row>
    <row r="172" spans="7:27" x14ac:dyDescent="0.25">
      <c r="G172" s="75" t="str">
        <f t="shared" si="22"/>
        <v>2.4 – 2.8&amp;14 – 15</v>
      </c>
      <c r="H172" s="208" t="str">
        <f t="shared" si="23"/>
        <v>2.4 – 2.8&amp;</v>
      </c>
      <c r="I172" s="75" t="s">
        <v>363</v>
      </c>
      <c r="K172" s="24" t="s">
        <v>78</v>
      </c>
      <c r="L172" s="19">
        <f t="shared" si="26"/>
        <v>0</v>
      </c>
      <c r="M172" s="20">
        <v>0</v>
      </c>
      <c r="N172" s="19"/>
      <c r="O172" s="20">
        <v>0</v>
      </c>
      <c r="P172" s="20">
        <v>0.33629300776914539</v>
      </c>
      <c r="R172" s="75" t="str">
        <f t="shared" si="16"/>
        <v>2.4 – 2.8&amp;14 – 15</v>
      </c>
      <c r="S172" s="208" t="str">
        <f t="shared" si="17"/>
        <v>2.4 – 2.8&amp;</v>
      </c>
      <c r="T172" s="75" t="s">
        <v>363</v>
      </c>
      <c r="V172" s="24" t="s">
        <v>78</v>
      </c>
      <c r="W172" s="19">
        <f t="shared" si="27"/>
        <v>0</v>
      </c>
      <c r="X172" s="20">
        <v>0</v>
      </c>
      <c r="Y172" s="19"/>
      <c r="Z172" s="20">
        <v>0</v>
      </c>
      <c r="AA172" s="20">
        <v>0.33629300776914539</v>
      </c>
    </row>
    <row r="173" spans="7:27" x14ac:dyDescent="0.25">
      <c r="G173" s="75" t="str">
        <f t="shared" si="22"/>
        <v>2.4 – 2.8&amp;15 – 16</v>
      </c>
      <c r="H173" s="208" t="str">
        <f t="shared" si="23"/>
        <v>2.4 – 2.8&amp;</v>
      </c>
      <c r="I173" s="75" t="s">
        <v>363</v>
      </c>
      <c r="K173" s="18" t="s">
        <v>79</v>
      </c>
      <c r="L173" s="19">
        <f t="shared" si="26"/>
        <v>0</v>
      </c>
      <c r="M173" s="20">
        <v>0</v>
      </c>
      <c r="N173" s="19"/>
      <c r="O173" s="20">
        <v>0</v>
      </c>
      <c r="P173" s="20">
        <v>0.22530521642619311</v>
      </c>
      <c r="R173" s="75" t="str">
        <f t="shared" si="16"/>
        <v>2.4 – 2.8&amp;15 – 16</v>
      </c>
      <c r="S173" s="208" t="str">
        <f t="shared" si="17"/>
        <v>2.4 – 2.8&amp;</v>
      </c>
      <c r="T173" s="75" t="s">
        <v>363</v>
      </c>
      <c r="V173" s="18" t="s">
        <v>79</v>
      </c>
      <c r="W173" s="19">
        <f t="shared" si="27"/>
        <v>0</v>
      </c>
      <c r="X173" s="20">
        <v>0</v>
      </c>
      <c r="Y173" s="19"/>
      <c r="Z173" s="20">
        <v>0</v>
      </c>
      <c r="AA173" s="20">
        <v>0.22530521642619311</v>
      </c>
    </row>
    <row r="174" spans="7:27" x14ac:dyDescent="0.25">
      <c r="G174" s="75" t="str">
        <f t="shared" si="22"/>
        <v>2.4 – 2.8&amp;16 - 17</v>
      </c>
      <c r="H174" s="208" t="str">
        <f t="shared" si="23"/>
        <v>2.4 – 2.8&amp;</v>
      </c>
      <c r="I174" s="75" t="s">
        <v>363</v>
      </c>
      <c r="K174" s="24" t="s">
        <v>339</v>
      </c>
      <c r="L174" s="19">
        <f t="shared" si="26"/>
        <v>0</v>
      </c>
      <c r="M174" s="20">
        <v>1</v>
      </c>
      <c r="N174" s="19"/>
      <c r="O174" s="20">
        <v>0</v>
      </c>
      <c r="P174" s="20">
        <v>0.13</v>
      </c>
      <c r="R174" s="75" t="str">
        <f t="shared" si="16"/>
        <v>2.4 – 2.8&amp;16 - 17</v>
      </c>
      <c r="S174" s="208" t="str">
        <f t="shared" si="17"/>
        <v>2.4 – 2.8&amp;</v>
      </c>
      <c r="T174" s="75" t="s">
        <v>363</v>
      </c>
      <c r="V174" s="24" t="s">
        <v>339</v>
      </c>
      <c r="W174" s="19">
        <f t="shared" si="27"/>
        <v>0</v>
      </c>
      <c r="X174" s="20">
        <v>1</v>
      </c>
      <c r="Y174" s="19"/>
      <c r="Z174" s="20">
        <v>0</v>
      </c>
      <c r="AA174" s="20">
        <v>0.13</v>
      </c>
    </row>
    <row r="175" spans="7:27" x14ac:dyDescent="0.25">
      <c r="G175" s="75" t="str">
        <f t="shared" si="22"/>
        <v>&amp;Total</v>
      </c>
      <c r="H175" s="208" t="str">
        <f t="shared" si="23"/>
        <v>&amp;</v>
      </c>
      <c r="K175" s="28" t="s">
        <v>80</v>
      </c>
      <c r="L175" s="29"/>
      <c r="M175" s="33">
        <f>SUM(M161:M174)</f>
        <v>1</v>
      </c>
      <c r="N175" s="29"/>
      <c r="O175" s="33"/>
      <c r="P175" s="33"/>
      <c r="R175" s="75" t="str">
        <f t="shared" si="16"/>
        <v>&amp;Total</v>
      </c>
      <c r="S175" s="208" t="str">
        <f t="shared" si="17"/>
        <v>&amp;</v>
      </c>
      <c r="V175" s="28" t="s">
        <v>80</v>
      </c>
      <c r="W175" s="29"/>
      <c r="X175" s="33">
        <f>SUM(X161:X174)</f>
        <v>1</v>
      </c>
      <c r="Y175" s="29"/>
      <c r="Z175" s="33"/>
      <c r="AA175" s="33"/>
    </row>
    <row r="176" spans="7:27" x14ac:dyDescent="0.25">
      <c r="G176" s="75" t="str">
        <f t="shared" si="22"/>
        <v>&amp;</v>
      </c>
      <c r="H176" s="208" t="str">
        <f t="shared" si="23"/>
        <v>&amp;</v>
      </c>
      <c r="R176" s="75" t="str">
        <f t="shared" si="16"/>
        <v>&amp;</v>
      </c>
      <c r="S176" s="208" t="str">
        <f t="shared" si="17"/>
        <v>&amp;</v>
      </c>
    </row>
  </sheetData>
  <mergeCells count="6">
    <mergeCell ref="AL3:AM3"/>
    <mergeCell ref="AG3:AH3"/>
    <mergeCell ref="B5:B6"/>
    <mergeCell ref="C5:C6"/>
    <mergeCell ref="D5:D6"/>
    <mergeCell ref="B3:D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52"/>
  <sheetViews>
    <sheetView workbookViewId="0">
      <selection activeCell="G14" sqref="G14"/>
    </sheetView>
  </sheetViews>
  <sheetFormatPr defaultRowHeight="15" x14ac:dyDescent="0.25"/>
  <cols>
    <col min="3" max="3" width="15.5703125" bestFit="1" customWidth="1"/>
    <col min="4" max="4" width="30.7109375" bestFit="1" customWidth="1"/>
    <col min="6" max="6" width="10.28515625" bestFit="1" customWidth="1"/>
    <col min="7" max="7" width="19.140625" customWidth="1"/>
    <col min="8" max="8" width="9.5703125" bestFit="1" customWidth="1"/>
  </cols>
  <sheetData>
    <row r="4" spans="2:8" x14ac:dyDescent="0.25">
      <c r="B4" s="242" t="s">
        <v>135</v>
      </c>
      <c r="C4" s="242" t="s">
        <v>38</v>
      </c>
      <c r="D4" s="243" t="s">
        <v>39</v>
      </c>
      <c r="E4" s="238" t="s">
        <v>134</v>
      </c>
      <c r="F4" s="238" t="s">
        <v>346</v>
      </c>
      <c r="G4" s="238" t="s">
        <v>347</v>
      </c>
      <c r="H4" s="238" t="s">
        <v>143</v>
      </c>
    </row>
    <row r="5" spans="2:8" x14ac:dyDescent="0.25">
      <c r="B5" s="242"/>
      <c r="C5" s="242"/>
      <c r="D5" s="243"/>
      <c r="E5" s="238"/>
      <c r="F5" s="238"/>
      <c r="G5" s="238"/>
      <c r="H5" s="238"/>
    </row>
    <row r="6" spans="2:8" x14ac:dyDescent="0.25">
      <c r="B6" s="105"/>
      <c r="C6" s="105" t="s">
        <v>119</v>
      </c>
      <c r="D6" s="106"/>
      <c r="E6" s="110"/>
      <c r="F6" s="110"/>
      <c r="G6" s="110"/>
      <c r="H6" s="110"/>
    </row>
    <row r="7" spans="2:8" x14ac:dyDescent="0.25">
      <c r="B7" s="37"/>
      <c r="C7" s="37" t="s">
        <v>2</v>
      </c>
      <c r="D7" s="38" t="s">
        <v>3</v>
      </c>
      <c r="E7" s="99">
        <f>SUMIF('SETTING PRODUKSI Januari'!C:C,'STOK AKHIR DAN ESKES LVL STOK'!C7,'SETTING PRODUKSI Januari'!P:P)</f>
        <v>1.2387846153846152</v>
      </c>
      <c r="F7" s="38"/>
      <c r="G7" s="74">
        <f>E7+F7</f>
        <v>1.2387846153846152</v>
      </c>
      <c r="H7" s="99">
        <f>IFERROR(G7/('SETTING PRODUKSI Januari'!E15/'SETTING PRODUKSI Januari'!$E$8),0)</f>
        <v>5.753585674807117</v>
      </c>
    </row>
    <row r="8" spans="2:8" x14ac:dyDescent="0.25">
      <c r="B8" s="38"/>
      <c r="C8" s="38" t="s">
        <v>24</v>
      </c>
      <c r="D8" s="38" t="s">
        <v>25</v>
      </c>
      <c r="E8" s="99">
        <f>SUMIF('SETTING PRODUKSI Januari'!C:C,'STOK AKHIR DAN ESKES LVL STOK'!C8,'SETTING PRODUKSI Januari'!P:P)</f>
        <v>0</v>
      </c>
      <c r="F8" s="38"/>
      <c r="G8" s="74">
        <f t="shared" ref="G8:G71" si="0">E8+F8</f>
        <v>0</v>
      </c>
      <c r="H8" s="99">
        <f>IFERROR(G8/('SETTING PRODUKSI Januari'!E16/'SETTING PRODUKSI Januari'!$E$8),0)</f>
        <v>0</v>
      </c>
    </row>
    <row r="9" spans="2:8" x14ac:dyDescent="0.25">
      <c r="B9" s="38"/>
      <c r="C9" s="38" t="s">
        <v>160</v>
      </c>
      <c r="D9" s="38" t="s">
        <v>161</v>
      </c>
      <c r="E9" s="99">
        <f>SUMIF('SETTING PRODUKSI Januari'!C:C,'STOK AKHIR DAN ESKES LVL STOK'!C9,'SETTING PRODUKSI Januari'!P:P)</f>
        <v>0</v>
      </c>
      <c r="F9" s="38"/>
      <c r="G9" s="74">
        <f t="shared" si="0"/>
        <v>0</v>
      </c>
      <c r="H9" s="99">
        <f>IFERROR(G9/('SETTING PRODUKSI Januari'!E17/'SETTING PRODUKSI Januari'!$E$8),0)</f>
        <v>0</v>
      </c>
    </row>
    <row r="10" spans="2:8" x14ac:dyDescent="0.25">
      <c r="B10" s="38"/>
      <c r="C10" s="38" t="s">
        <v>162</v>
      </c>
      <c r="D10" s="38" t="s">
        <v>163</v>
      </c>
      <c r="E10" s="99">
        <f>SUMIF('SETTING PRODUKSI Januari'!C:C,'STOK AKHIR DAN ESKES LVL STOK'!C10,'SETTING PRODUKSI Januari'!P:P)</f>
        <v>0</v>
      </c>
      <c r="F10" s="38"/>
      <c r="G10" s="74">
        <f t="shared" si="0"/>
        <v>0</v>
      </c>
      <c r="H10" s="99">
        <f>IFERROR(G10/('SETTING PRODUKSI Januari'!E18/'SETTING PRODUKSI Januari'!$E$8),0)</f>
        <v>0</v>
      </c>
    </row>
    <row r="11" spans="2:8" x14ac:dyDescent="0.25">
      <c r="B11" s="38"/>
      <c r="C11" s="38" t="s">
        <v>202</v>
      </c>
      <c r="D11" s="38" t="s">
        <v>203</v>
      </c>
      <c r="E11" s="99">
        <f>SUMIF('SETTING PRODUKSI Januari'!C:C,'STOK AKHIR DAN ESKES LVL STOK'!C11,'SETTING PRODUKSI Januari'!P:P)</f>
        <v>0</v>
      </c>
      <c r="F11" s="38"/>
      <c r="G11" s="74">
        <f t="shared" si="0"/>
        <v>0</v>
      </c>
      <c r="H11" s="99">
        <f>IFERROR(G11/('SETTING PRODUKSI Januari'!E19/'SETTING PRODUKSI Januari'!$E$8),0)</f>
        <v>0</v>
      </c>
    </row>
    <row r="12" spans="2:8" x14ac:dyDescent="0.25">
      <c r="B12" s="38"/>
      <c r="C12" s="38" t="s">
        <v>30</v>
      </c>
      <c r="D12" s="38" t="s">
        <v>31</v>
      </c>
      <c r="E12" s="99">
        <f>SUMIF('SETTING PRODUKSI Januari'!C:C,'STOK AKHIR DAN ESKES LVL STOK'!C12,'SETTING PRODUKSI Januari'!P:P)</f>
        <v>0.42800692307692301</v>
      </c>
      <c r="F12" s="38"/>
      <c r="G12" s="74">
        <f t="shared" si="0"/>
        <v>0.42800692307692301</v>
      </c>
      <c r="H12" s="99">
        <f>IFERROR(G12/('SETTING PRODUKSI Januari'!E20/'SETTING PRODUKSI Januari'!$E$8),0)</f>
        <v>1.712027692307692</v>
      </c>
    </row>
    <row r="13" spans="2:8" x14ac:dyDescent="0.25">
      <c r="B13" s="38"/>
      <c r="C13" s="38" t="s">
        <v>164</v>
      </c>
      <c r="D13" s="38" t="s">
        <v>165</v>
      </c>
      <c r="E13" s="99">
        <f>SUMIF('SETTING PRODUKSI Januari'!C:C,'STOK AKHIR DAN ESKES LVL STOK'!C13,'SETTING PRODUKSI Januari'!P:P)</f>
        <v>3.1120000000000009E-2</v>
      </c>
      <c r="F13" s="38"/>
      <c r="G13" s="74">
        <f t="shared" si="0"/>
        <v>3.1120000000000009E-2</v>
      </c>
      <c r="H13" s="99">
        <f>IFERROR(G13/('SETTING PRODUKSI Januari'!E21/'SETTING PRODUKSI Januari'!$E$8),0)</f>
        <v>5.3941333333333355E-2</v>
      </c>
    </row>
    <row r="14" spans="2:8" x14ac:dyDescent="0.25">
      <c r="B14" s="38"/>
      <c r="C14" s="38" t="s">
        <v>204</v>
      </c>
      <c r="D14" s="38" t="s">
        <v>205</v>
      </c>
      <c r="E14" s="99">
        <f>SUMIF('SETTING PRODUKSI Januari'!C:C,'STOK AKHIR DAN ESKES LVL STOK'!C14,'SETTING PRODUKSI Januari'!P:P)</f>
        <v>0.43884615384615344</v>
      </c>
      <c r="F14" s="38"/>
      <c r="G14" s="74">
        <f t="shared" si="0"/>
        <v>0.43884615384615344</v>
      </c>
      <c r="H14" s="99">
        <f>IFERROR(G14/('SETTING PRODUKSI Januari'!E22/'SETTING PRODUKSI Januari'!$E$8),0)</f>
        <v>30.026315789473657</v>
      </c>
    </row>
    <row r="15" spans="2:8" x14ac:dyDescent="0.25">
      <c r="B15" s="38"/>
      <c r="C15" s="38" t="s">
        <v>16</v>
      </c>
      <c r="D15" s="38" t="s">
        <v>17</v>
      </c>
      <c r="E15" s="99">
        <f>SUMIF('SETTING PRODUKSI Januari'!C:C,'STOK AKHIR DAN ESKES LVL STOK'!C15,'SETTING PRODUKSI Januari'!P:P)</f>
        <v>0</v>
      </c>
      <c r="F15" s="38"/>
      <c r="G15" s="74">
        <f t="shared" si="0"/>
        <v>0</v>
      </c>
      <c r="H15" s="99">
        <f>IFERROR(G15/('SETTING PRODUKSI Januari'!E23/'SETTING PRODUKSI Januari'!$E$8),0)</f>
        <v>0</v>
      </c>
    </row>
    <row r="16" spans="2:8" x14ac:dyDescent="0.25">
      <c r="B16" s="38"/>
      <c r="C16" s="38" t="s">
        <v>206</v>
      </c>
      <c r="D16" s="38" t="s">
        <v>207</v>
      </c>
      <c r="E16" s="99">
        <f>SUMIF('SETTING PRODUKSI Januari'!C:C,'STOK AKHIR DAN ESKES LVL STOK'!C16,'SETTING PRODUKSI Januari'!P:P)</f>
        <v>0.12384615384615388</v>
      </c>
      <c r="F16" s="38"/>
      <c r="G16" s="74">
        <f t="shared" si="0"/>
        <v>0.12384615384615388</v>
      </c>
      <c r="H16" s="99">
        <f>IFERROR(G16/('SETTING PRODUKSI Januari'!E24/'SETTING PRODUKSI Januari'!$E$8),0)</f>
        <v>0.35738068812430646</v>
      </c>
    </row>
    <row r="17" spans="2:8" x14ac:dyDescent="0.25">
      <c r="B17" s="38"/>
      <c r="C17" s="38" t="s">
        <v>0</v>
      </c>
      <c r="D17" s="38" t="s">
        <v>1</v>
      </c>
      <c r="E17" s="99">
        <f>SUMIF('SETTING PRODUKSI Januari'!C:C,'STOK AKHIR DAN ESKES LVL STOK'!C17,'SETTING PRODUKSI Januari'!P:P)</f>
        <v>1.5668100000000003</v>
      </c>
      <c r="F17" s="38"/>
      <c r="G17" s="74">
        <f t="shared" si="0"/>
        <v>1.5668100000000003</v>
      </c>
      <c r="H17" s="99">
        <f>IFERROR(G17/('SETTING PRODUKSI Januari'!E25/'SETTING PRODUKSI Januari'!$E$8),0)</f>
        <v>25.624982701573845</v>
      </c>
    </row>
    <row r="18" spans="2:8" x14ac:dyDescent="0.25">
      <c r="B18" s="38"/>
      <c r="C18" s="38" t="s">
        <v>208</v>
      </c>
      <c r="D18" s="38" t="s">
        <v>209</v>
      </c>
      <c r="E18" s="99">
        <f>SUMIF('SETTING PRODUKSI Januari'!C:C,'STOK AKHIR DAN ESKES LVL STOK'!C18,'SETTING PRODUKSI Januari'!P:P)</f>
        <v>0</v>
      </c>
      <c r="F18" s="38"/>
      <c r="G18" s="74">
        <f t="shared" si="0"/>
        <v>0</v>
      </c>
      <c r="H18" s="99">
        <f>IFERROR(G18/('SETTING PRODUKSI Januari'!E26/'SETTING PRODUKSI Januari'!$E$8),0)</f>
        <v>0</v>
      </c>
    </row>
    <row r="19" spans="2:8" x14ac:dyDescent="0.25">
      <c r="B19" s="38"/>
      <c r="C19" s="38" t="s">
        <v>166</v>
      </c>
      <c r="D19" s="38" t="s">
        <v>167</v>
      </c>
      <c r="E19" s="99">
        <f>SUMIF('SETTING PRODUKSI Januari'!C:C,'STOK AKHIR DAN ESKES LVL STOK'!C19,'SETTING PRODUKSI Januari'!P:P)</f>
        <v>0</v>
      </c>
      <c r="F19" s="38"/>
      <c r="G19" s="74">
        <f t="shared" si="0"/>
        <v>0</v>
      </c>
      <c r="H19" s="99">
        <f>IFERROR(G19/('SETTING PRODUKSI Januari'!E27/'SETTING PRODUKSI Januari'!$E$8),0)</f>
        <v>0</v>
      </c>
    </row>
    <row r="20" spans="2:8" x14ac:dyDescent="0.25">
      <c r="B20" s="38"/>
      <c r="C20" s="38" t="s">
        <v>168</v>
      </c>
      <c r="D20" s="38" t="s">
        <v>169</v>
      </c>
      <c r="E20" s="99">
        <f>SUMIF('SETTING PRODUKSI Januari'!C:C,'STOK AKHIR DAN ESKES LVL STOK'!C20,'SETTING PRODUKSI Januari'!P:P)</f>
        <v>3.2488076923076911E-2</v>
      </c>
      <c r="F20" s="38"/>
      <c r="G20" s="74">
        <f t="shared" si="0"/>
        <v>3.2488076923076911E-2</v>
      </c>
      <c r="H20" s="99">
        <f>IFERROR(G20/('SETTING PRODUKSI Januari'!E28/'SETTING PRODUKSI Januari'!$E$8),0)</f>
        <v>0.51821472392638024</v>
      </c>
    </row>
    <row r="21" spans="2:8" x14ac:dyDescent="0.25">
      <c r="B21" s="38"/>
      <c r="C21" s="38" t="s">
        <v>4</v>
      </c>
      <c r="D21" s="38" t="s">
        <v>5</v>
      </c>
      <c r="E21" s="99">
        <f>SUMIF('SETTING PRODUKSI Januari'!C:C,'STOK AKHIR DAN ESKES LVL STOK'!C21,'SETTING PRODUKSI Januari'!P:P)</f>
        <v>20.840168461538468</v>
      </c>
      <c r="F21" s="38"/>
      <c r="G21" s="74">
        <f t="shared" si="0"/>
        <v>20.840168461538468</v>
      </c>
      <c r="H21" s="99">
        <f>IFERROR(G21/('SETTING PRODUKSI Januari'!E29/'SETTING PRODUKSI Januari'!$E$8),0)</f>
        <v>846.63184375000026</v>
      </c>
    </row>
    <row r="22" spans="2:8" x14ac:dyDescent="0.25">
      <c r="B22" s="38"/>
      <c r="C22" s="38" t="s">
        <v>210</v>
      </c>
      <c r="D22" s="38" t="s">
        <v>211</v>
      </c>
      <c r="E22" s="99">
        <f>SUMIF('SETTING PRODUKSI Januari'!C:C,'STOK AKHIR DAN ESKES LVL STOK'!C22,'SETTING PRODUKSI Januari'!P:P)</f>
        <v>5.4546153846153889</v>
      </c>
      <c r="F22" s="38"/>
      <c r="G22" s="74">
        <f t="shared" si="0"/>
        <v>5.4546153846153889</v>
      </c>
      <c r="H22" s="99">
        <f>IFERROR(G22/('SETTING PRODUKSI Januari'!E30/'SETTING PRODUKSI Januari'!$E$8),0)</f>
        <v>308.30434782608717</v>
      </c>
    </row>
    <row r="23" spans="2:8" x14ac:dyDescent="0.25">
      <c r="B23" s="38"/>
      <c r="C23" s="38" t="s">
        <v>170</v>
      </c>
      <c r="D23" s="38" t="s">
        <v>171</v>
      </c>
      <c r="E23" s="99">
        <f>SUMIF('SETTING PRODUKSI Januari'!C:C,'STOK AKHIR DAN ESKES LVL STOK'!C23,'SETTING PRODUKSI Januari'!P:P)</f>
        <v>3.6346153846153868</v>
      </c>
      <c r="F23" s="38"/>
      <c r="G23" s="74">
        <f t="shared" si="0"/>
        <v>3.6346153846153868</v>
      </c>
      <c r="H23" s="99">
        <f>IFERROR(G23/('SETTING PRODUKSI Januari'!E31/'SETTING PRODUKSI Januari'!$E$8),0)</f>
        <v>16.238285237078973</v>
      </c>
    </row>
    <row r="24" spans="2:8" x14ac:dyDescent="0.25">
      <c r="B24" s="38"/>
      <c r="C24" s="38" t="s">
        <v>172</v>
      </c>
      <c r="D24" s="38" t="s">
        <v>173</v>
      </c>
      <c r="E24" s="99">
        <f>SUMIF('SETTING PRODUKSI Januari'!C:C,'STOK AKHIR DAN ESKES LVL STOK'!C24,'SETTING PRODUKSI Januari'!P:P)</f>
        <v>0</v>
      </c>
      <c r="F24" s="38"/>
      <c r="G24" s="74">
        <f t="shared" si="0"/>
        <v>0</v>
      </c>
      <c r="H24" s="99">
        <f>IFERROR(G24/('SETTING PRODUKSI Januari'!E32/'SETTING PRODUKSI Januari'!$E$8),0)</f>
        <v>0</v>
      </c>
    </row>
    <row r="25" spans="2:8" x14ac:dyDescent="0.25">
      <c r="B25" s="38"/>
      <c r="C25" s="38" t="s">
        <v>174</v>
      </c>
      <c r="D25" s="38" t="s">
        <v>175</v>
      </c>
      <c r="E25" s="99">
        <f>SUMIF('SETTING PRODUKSI Januari'!C:C,'STOK AKHIR DAN ESKES LVL STOK'!C25,'SETTING PRODUKSI Januari'!P:P)</f>
        <v>0</v>
      </c>
      <c r="F25" s="38"/>
      <c r="G25" s="74">
        <f t="shared" si="0"/>
        <v>0</v>
      </c>
      <c r="H25" s="99">
        <f>IFERROR(G25/('SETTING PRODUKSI Januari'!E33/'SETTING PRODUKSI Januari'!$E$8),0)</f>
        <v>0</v>
      </c>
    </row>
    <row r="26" spans="2:8" x14ac:dyDescent="0.25">
      <c r="B26" s="38"/>
      <c r="C26" s="38" t="s">
        <v>176</v>
      </c>
      <c r="D26" s="38" t="s">
        <v>177</v>
      </c>
      <c r="E26" s="99">
        <f>SUMIF('SETTING PRODUKSI Januari'!C:C,'STOK AKHIR DAN ESKES LVL STOK'!C26,'SETTING PRODUKSI Januari'!P:P)</f>
        <v>0</v>
      </c>
      <c r="F26" s="38"/>
      <c r="G26" s="74">
        <f t="shared" si="0"/>
        <v>0</v>
      </c>
      <c r="H26" s="99">
        <f>IFERROR(G26/('SETTING PRODUKSI Januari'!E34/'SETTING PRODUKSI Januari'!$E$8),0)</f>
        <v>0</v>
      </c>
    </row>
    <row r="27" spans="2:8" x14ac:dyDescent="0.25">
      <c r="B27" s="38"/>
      <c r="C27" s="38" t="s">
        <v>22</v>
      </c>
      <c r="D27" s="38" t="s">
        <v>23</v>
      </c>
      <c r="E27" s="99">
        <f>SUMIF('SETTING PRODUKSI Januari'!C:C,'STOK AKHIR DAN ESKES LVL STOK'!C27,'SETTING PRODUKSI Januari'!P:P)</f>
        <v>0.23423076923076913</v>
      </c>
      <c r="F27" s="38"/>
      <c r="G27" s="74">
        <f t="shared" si="0"/>
        <v>0.23423076923076913</v>
      </c>
      <c r="H27" s="99">
        <f>IFERROR(G27/('SETTING PRODUKSI Januari'!E35/'SETTING PRODUKSI Januari'!$E$8),0)</f>
        <v>4.6846153846153822</v>
      </c>
    </row>
    <row r="28" spans="2:8" x14ac:dyDescent="0.25">
      <c r="B28" s="38"/>
      <c r="C28" s="38" t="s">
        <v>178</v>
      </c>
      <c r="D28" s="38" t="s">
        <v>179</v>
      </c>
      <c r="E28" s="99">
        <f>SUMIF('SETTING PRODUKSI Januari'!C:C,'STOK AKHIR DAN ESKES LVL STOK'!C28,'SETTING PRODUKSI Januari'!P:P)</f>
        <v>0</v>
      </c>
      <c r="F28" s="38"/>
      <c r="G28" s="74">
        <f t="shared" si="0"/>
        <v>0</v>
      </c>
      <c r="H28" s="99">
        <f>IFERROR(G28/('SETTING PRODUKSI Januari'!E36/'SETTING PRODUKSI Januari'!$E$8),0)</f>
        <v>0</v>
      </c>
    </row>
    <row r="29" spans="2:8" x14ac:dyDescent="0.25">
      <c r="B29" s="38"/>
      <c r="C29" s="38" t="s">
        <v>12</v>
      </c>
      <c r="D29" s="38" t="s">
        <v>13</v>
      </c>
      <c r="E29" s="99">
        <f>SUMIF('SETTING PRODUKSI Januari'!C:C,'STOK AKHIR DAN ESKES LVL STOK'!C29,'SETTING PRODUKSI Januari'!P:P)</f>
        <v>4.1094253846153848</v>
      </c>
      <c r="F29" s="38"/>
      <c r="G29" s="74">
        <f t="shared" si="0"/>
        <v>4.1094253846153848</v>
      </c>
      <c r="H29" s="99">
        <f>IFERROR(G29/('SETTING PRODUKSI Januari'!E37/'SETTING PRODUKSI Januari'!$E$8),0)</f>
        <v>1.3803140672973295</v>
      </c>
    </row>
    <row r="30" spans="2:8" x14ac:dyDescent="0.25">
      <c r="B30" s="38"/>
      <c r="C30" s="38" t="s">
        <v>180</v>
      </c>
      <c r="D30" s="38" t="s">
        <v>181</v>
      </c>
      <c r="E30" s="99">
        <f>SUMIF('SETTING PRODUKSI Januari'!C:C,'STOK AKHIR DAN ESKES LVL STOK'!C30,'SETTING PRODUKSI Januari'!P:P)</f>
        <v>0</v>
      </c>
      <c r="F30" s="38"/>
      <c r="G30" s="74">
        <f t="shared" si="0"/>
        <v>0</v>
      </c>
      <c r="H30" s="99">
        <f>IFERROR(G30/('SETTING PRODUKSI Januari'!E38/'SETTING PRODUKSI Januari'!$E$8),0)</f>
        <v>0</v>
      </c>
    </row>
    <row r="31" spans="2:8" x14ac:dyDescent="0.25">
      <c r="B31" s="38"/>
      <c r="C31" s="38" t="s">
        <v>182</v>
      </c>
      <c r="D31" s="38" t="s">
        <v>183</v>
      </c>
      <c r="E31" s="99">
        <f>SUMIF('SETTING PRODUKSI Januari'!C:C,'STOK AKHIR DAN ESKES LVL STOK'!C31,'SETTING PRODUKSI Januari'!P:P)</f>
        <v>0</v>
      </c>
      <c r="F31" s="38"/>
      <c r="G31" s="74">
        <f t="shared" si="0"/>
        <v>0</v>
      </c>
      <c r="H31" s="99">
        <f>IFERROR(G31/('SETTING PRODUKSI Januari'!E39/'SETTING PRODUKSI Januari'!$E$8),0)</f>
        <v>0</v>
      </c>
    </row>
    <row r="32" spans="2:8" x14ac:dyDescent="0.25">
      <c r="B32" s="38"/>
      <c r="C32" s="38" t="s">
        <v>184</v>
      </c>
      <c r="D32" s="38" t="s">
        <v>185</v>
      </c>
      <c r="E32" s="99">
        <f>SUMIF('SETTING PRODUKSI Januari'!C:C,'STOK AKHIR DAN ESKES LVL STOK'!C32,'SETTING PRODUKSI Januari'!P:P)</f>
        <v>0</v>
      </c>
      <c r="F32" s="38"/>
      <c r="G32" s="74">
        <f t="shared" si="0"/>
        <v>0</v>
      </c>
      <c r="H32" s="99">
        <f>IFERROR(G32/('SETTING PRODUKSI Januari'!E40/'SETTING PRODUKSI Januari'!$E$8),0)</f>
        <v>0</v>
      </c>
    </row>
    <row r="33" spans="2:8" x14ac:dyDescent="0.25">
      <c r="B33" s="38"/>
      <c r="C33" s="38" t="s">
        <v>212</v>
      </c>
      <c r="D33" s="38" t="s">
        <v>213</v>
      </c>
      <c r="E33" s="99">
        <f>SUMIF('SETTING PRODUKSI Januari'!C:C,'STOK AKHIR DAN ESKES LVL STOK'!C33,'SETTING PRODUKSI Januari'!P:P)</f>
        <v>0</v>
      </c>
      <c r="F33" s="38"/>
      <c r="G33" s="74">
        <f t="shared" si="0"/>
        <v>0</v>
      </c>
      <c r="H33" s="99">
        <f>IFERROR(G33/('SETTING PRODUKSI Januari'!E41/'SETTING PRODUKSI Januari'!$E$8),0)</f>
        <v>0</v>
      </c>
    </row>
    <row r="34" spans="2:8" x14ac:dyDescent="0.25">
      <c r="B34" s="38"/>
      <c r="C34" s="38" t="s">
        <v>186</v>
      </c>
      <c r="D34" s="38" t="s">
        <v>187</v>
      </c>
      <c r="E34" s="99">
        <f>SUMIF('SETTING PRODUKSI Januari'!C:C,'STOK AKHIR DAN ESKES LVL STOK'!C34,'SETTING PRODUKSI Januari'!P:P)</f>
        <v>0</v>
      </c>
      <c r="F34" s="38"/>
      <c r="G34" s="74">
        <f t="shared" si="0"/>
        <v>0</v>
      </c>
      <c r="H34" s="99">
        <f>IFERROR(G34/('SETTING PRODUKSI Januari'!E42/'SETTING PRODUKSI Januari'!$E$8),0)</f>
        <v>0</v>
      </c>
    </row>
    <row r="35" spans="2:8" x14ac:dyDescent="0.25">
      <c r="B35" s="38"/>
      <c r="C35" s="38" t="s">
        <v>14</v>
      </c>
      <c r="D35" s="38" t="s">
        <v>15</v>
      </c>
      <c r="E35" s="99">
        <f>SUMIF('SETTING PRODUKSI Januari'!C:C,'STOK AKHIR DAN ESKES LVL STOK'!C35,'SETTING PRODUKSI Januari'!P:P)</f>
        <v>9.9629115384615332</v>
      </c>
      <c r="F35" s="38"/>
      <c r="G35" s="74">
        <f t="shared" si="0"/>
        <v>9.9629115384615332</v>
      </c>
      <c r="H35" s="99">
        <f>IFERROR(G35/('SETTING PRODUKSI Januari'!E43/'SETTING PRODUKSI Januari'!$E$8),0)</f>
        <v>297.74218390804583</v>
      </c>
    </row>
    <row r="36" spans="2:8" x14ac:dyDescent="0.25">
      <c r="B36" s="38"/>
      <c r="C36" s="38" t="s">
        <v>188</v>
      </c>
      <c r="D36" s="38" t="s">
        <v>189</v>
      </c>
      <c r="E36" s="99">
        <f>SUMIF('SETTING PRODUKSI Januari'!C:C,'STOK AKHIR DAN ESKES LVL STOK'!C36,'SETTING PRODUKSI Januari'!P:P)</f>
        <v>0</v>
      </c>
      <c r="F36" s="38"/>
      <c r="G36" s="74">
        <f t="shared" si="0"/>
        <v>0</v>
      </c>
      <c r="H36" s="99">
        <f>IFERROR(G36/('SETTING PRODUKSI Januari'!E44/'SETTING PRODUKSI Januari'!$E$8),0)</f>
        <v>0</v>
      </c>
    </row>
    <row r="37" spans="2:8" x14ac:dyDescent="0.25">
      <c r="B37" s="38"/>
      <c r="C37" s="38" t="s">
        <v>190</v>
      </c>
      <c r="D37" s="38" t="s">
        <v>191</v>
      </c>
      <c r="E37" s="99">
        <f>SUMIF('SETTING PRODUKSI Januari'!C:C,'STOK AKHIR DAN ESKES LVL STOK'!C37,'SETTING PRODUKSI Januari'!P:P)</f>
        <v>0</v>
      </c>
      <c r="F37" s="38"/>
      <c r="G37" s="74">
        <f t="shared" si="0"/>
        <v>0</v>
      </c>
      <c r="H37" s="99">
        <f>IFERROR(G37/('SETTING PRODUKSI Januari'!E45/'SETTING PRODUKSI Januari'!$E$8),0)</f>
        <v>0</v>
      </c>
    </row>
    <row r="38" spans="2:8" x14ac:dyDescent="0.25">
      <c r="B38" s="38"/>
      <c r="C38" s="38" t="s">
        <v>6</v>
      </c>
      <c r="D38" s="38" t="s">
        <v>7</v>
      </c>
      <c r="E38" s="99">
        <f>SUMIF('SETTING PRODUKSI Januari'!C:C,'STOK AKHIR DAN ESKES LVL STOK'!C38,'SETTING PRODUKSI Januari'!P:P)</f>
        <v>18.642618076923071</v>
      </c>
      <c r="F38" s="38"/>
      <c r="G38" s="74">
        <f t="shared" si="0"/>
        <v>18.642618076923071</v>
      </c>
      <c r="H38" s="99">
        <f>IFERROR(G38/('SETTING PRODUKSI Januari'!E46/'SETTING PRODUKSI Januari'!$E$8),0)</f>
        <v>35.587964023494848</v>
      </c>
    </row>
    <row r="39" spans="2:8" x14ac:dyDescent="0.25">
      <c r="B39" s="38"/>
      <c r="C39" s="38" t="s">
        <v>192</v>
      </c>
      <c r="D39" s="38" t="s">
        <v>193</v>
      </c>
      <c r="E39" s="99">
        <f>SUMIF('SETTING PRODUKSI Januari'!C:C,'STOK AKHIR DAN ESKES LVL STOK'!C39,'SETTING PRODUKSI Januari'!P:P)</f>
        <v>0</v>
      </c>
      <c r="F39" s="38"/>
      <c r="G39" s="74">
        <f t="shared" si="0"/>
        <v>0</v>
      </c>
      <c r="H39" s="99">
        <f>IFERROR(G39/('SETTING PRODUKSI Januari'!E47/'SETTING PRODUKSI Januari'!$E$8),0)</f>
        <v>0</v>
      </c>
    </row>
    <row r="40" spans="2:8" x14ac:dyDescent="0.25">
      <c r="B40" s="38"/>
      <c r="C40" s="38" t="s">
        <v>8</v>
      </c>
      <c r="D40" s="38" t="s">
        <v>9</v>
      </c>
      <c r="E40" s="99">
        <f>SUMIF('SETTING PRODUKSI Januari'!C:C,'STOK AKHIR DAN ESKES LVL STOK'!C40,'SETTING PRODUKSI Januari'!P:P)</f>
        <v>1.884615384615379E-2</v>
      </c>
      <c r="F40" s="38"/>
      <c r="G40" s="74">
        <f t="shared" si="0"/>
        <v>1.884615384615379E-2</v>
      </c>
      <c r="H40" s="99">
        <f>IFERROR(G40/('SETTING PRODUKSI Januari'!E48/'SETTING PRODUKSI Januari'!$E$8),0)</f>
        <v>4.7665369649805305</v>
      </c>
    </row>
    <row r="41" spans="2:8" x14ac:dyDescent="0.25">
      <c r="B41" s="38"/>
      <c r="C41" s="38" t="s">
        <v>20</v>
      </c>
      <c r="D41" s="38" t="s">
        <v>21</v>
      </c>
      <c r="E41" s="99">
        <f>SUMIF('SETTING PRODUKSI Januari'!C:C,'STOK AKHIR DAN ESKES LVL STOK'!C41,'SETTING PRODUKSI Januari'!P:P)</f>
        <v>1.4090892307692311</v>
      </c>
      <c r="F41" s="38"/>
      <c r="G41" s="74">
        <f t="shared" si="0"/>
        <v>1.4090892307692311</v>
      </c>
      <c r="H41" s="99">
        <f>IFERROR(G41/('SETTING PRODUKSI Januari'!E49/'SETTING PRODUKSI Januari'!$E$8),0)</f>
        <v>0.99003434661708833</v>
      </c>
    </row>
    <row r="42" spans="2:8" x14ac:dyDescent="0.25">
      <c r="B42" s="38"/>
      <c r="C42" s="38" t="s">
        <v>194</v>
      </c>
      <c r="D42" s="38" t="s">
        <v>195</v>
      </c>
      <c r="E42" s="99">
        <f>SUMIF('SETTING PRODUKSI Januari'!C:C,'STOK AKHIR DAN ESKES LVL STOK'!C42,'SETTING PRODUKSI Januari'!P:P)</f>
        <v>0</v>
      </c>
      <c r="F42" s="38"/>
      <c r="G42" s="74">
        <f t="shared" si="0"/>
        <v>0</v>
      </c>
      <c r="H42" s="99">
        <f>IFERROR(G42/('SETTING PRODUKSI Januari'!E50/'SETTING PRODUKSI Januari'!$E$8),0)</f>
        <v>0</v>
      </c>
    </row>
    <row r="43" spans="2:8" x14ac:dyDescent="0.25">
      <c r="B43" s="38"/>
      <c r="C43" s="38" t="s">
        <v>18</v>
      </c>
      <c r="D43" s="38" t="s">
        <v>19</v>
      </c>
      <c r="E43" s="99">
        <f>SUMIF('SETTING PRODUKSI Januari'!C:C,'STOK AKHIR DAN ESKES LVL STOK'!C43,'SETTING PRODUKSI Januari'!P:P)</f>
        <v>0.48788384615384595</v>
      </c>
      <c r="F43" s="38"/>
      <c r="G43" s="74">
        <f t="shared" si="0"/>
        <v>0.48788384615384595</v>
      </c>
      <c r="H43" s="99">
        <f>IFERROR(G43/('SETTING PRODUKSI Januari'!E51/'SETTING PRODUKSI Januari'!$E$8),0)</f>
        <v>181.21399999999991</v>
      </c>
    </row>
    <row r="44" spans="2:8" x14ac:dyDescent="0.25">
      <c r="B44" s="38"/>
      <c r="C44" s="38" t="s">
        <v>196</v>
      </c>
      <c r="D44" s="38" t="s">
        <v>197</v>
      </c>
      <c r="E44" s="99">
        <f>SUMIF('SETTING PRODUKSI Januari'!C:C,'STOK AKHIR DAN ESKES LVL STOK'!C44,'SETTING PRODUKSI Januari'!P:P)</f>
        <v>0</v>
      </c>
      <c r="F44" s="38"/>
      <c r="G44" s="74">
        <f t="shared" si="0"/>
        <v>0</v>
      </c>
      <c r="H44" s="99">
        <f>IFERROR(G44/('SETTING PRODUKSI Januari'!E52/'SETTING PRODUKSI Januari'!$E$8),0)</f>
        <v>0</v>
      </c>
    </row>
    <row r="45" spans="2:8" x14ac:dyDescent="0.25">
      <c r="B45" s="38"/>
      <c r="C45" s="38" t="s">
        <v>198</v>
      </c>
      <c r="D45" s="38" t="s">
        <v>199</v>
      </c>
      <c r="E45" s="99">
        <f>SUMIF('SETTING PRODUKSI Januari'!C:C,'STOK AKHIR DAN ESKES LVL STOK'!C45,'SETTING PRODUKSI Januari'!P:P)</f>
        <v>0</v>
      </c>
      <c r="F45" s="38"/>
      <c r="G45" s="74">
        <f t="shared" si="0"/>
        <v>0</v>
      </c>
      <c r="H45" s="99">
        <f>IFERROR(G45/('SETTING PRODUKSI Januari'!E53/'SETTING PRODUKSI Januari'!$E$8),0)</f>
        <v>0</v>
      </c>
    </row>
    <row r="46" spans="2:8" x14ac:dyDescent="0.25">
      <c r="B46" s="38"/>
      <c r="C46" s="38" t="s">
        <v>26</v>
      </c>
      <c r="D46" s="38" t="s">
        <v>27</v>
      </c>
      <c r="E46" s="99">
        <f>SUMIF('SETTING PRODUKSI Januari'!C:C,'STOK AKHIR DAN ESKES LVL STOK'!C46,'SETTING PRODUKSI Januari'!P:P)</f>
        <v>2.0187030769230772</v>
      </c>
      <c r="F46" s="38"/>
      <c r="G46" s="74">
        <f t="shared" si="0"/>
        <v>2.0187030769230772</v>
      </c>
      <c r="H46" s="99">
        <f>IFERROR(G46/('SETTING PRODUKSI Januari'!E54/'SETTING PRODUKSI Januari'!$E$8),0)</f>
        <v>0.30286370455856898</v>
      </c>
    </row>
    <row r="47" spans="2:8" x14ac:dyDescent="0.25">
      <c r="B47" s="38"/>
      <c r="C47" s="38" t="s">
        <v>10</v>
      </c>
      <c r="D47" s="38" t="s">
        <v>11</v>
      </c>
      <c r="E47" s="99">
        <f>SUMIF('SETTING PRODUKSI Januari'!C:C,'STOK AKHIR DAN ESKES LVL STOK'!C47,'SETTING PRODUKSI Januari'!P:P)</f>
        <v>0</v>
      </c>
      <c r="F47" s="38"/>
      <c r="G47" s="74">
        <f t="shared" si="0"/>
        <v>0</v>
      </c>
      <c r="H47" s="99">
        <f>IFERROR(G47/('SETTING PRODUKSI Januari'!E55/'SETTING PRODUKSI Januari'!$E$8),0)</f>
        <v>0</v>
      </c>
    </row>
    <row r="48" spans="2:8" x14ac:dyDescent="0.25">
      <c r="B48" s="38"/>
      <c r="C48" s="38" t="s">
        <v>28</v>
      </c>
      <c r="D48" s="38" t="s">
        <v>29</v>
      </c>
      <c r="E48" s="99">
        <f>SUMIF('SETTING PRODUKSI Januari'!C:C,'STOK AKHIR DAN ESKES LVL STOK'!C48,'SETTING PRODUKSI Januari'!P:P)</f>
        <v>1.0639084615384613</v>
      </c>
      <c r="F48" s="38"/>
      <c r="G48" s="74">
        <f t="shared" si="0"/>
        <v>1.0639084615384613</v>
      </c>
      <c r="H48" s="99">
        <f>IFERROR(G48/('SETTING PRODUKSI Januari'!E56/'SETTING PRODUKSI Januari'!$E$8),0)</f>
        <v>6.9999999999999973</v>
      </c>
    </row>
    <row r="49" spans="2:8" x14ac:dyDescent="0.25">
      <c r="B49" s="38"/>
      <c r="C49" s="38" t="s">
        <v>214</v>
      </c>
      <c r="D49" s="38" t="s">
        <v>215</v>
      </c>
      <c r="E49" s="99">
        <f>SUMIF('SETTING PRODUKSI Januari'!C:C,'STOK AKHIR DAN ESKES LVL STOK'!C49,'SETTING PRODUKSI Januari'!P:P)</f>
        <v>0</v>
      </c>
      <c r="F49" s="38"/>
      <c r="G49" s="74">
        <f t="shared" si="0"/>
        <v>0</v>
      </c>
      <c r="H49" s="99">
        <f>IFERROR(G49/('SETTING PRODUKSI Januari'!E57/'SETTING PRODUKSI Januari'!$E$8),0)</f>
        <v>0</v>
      </c>
    </row>
    <row r="50" spans="2:8" x14ac:dyDescent="0.25">
      <c r="B50" s="38"/>
      <c r="C50" s="38" t="s">
        <v>216</v>
      </c>
      <c r="D50" s="38" t="s">
        <v>217</v>
      </c>
      <c r="E50" s="99">
        <f>SUMIF('SETTING PRODUKSI Januari'!C:C,'STOK AKHIR DAN ESKES LVL STOK'!C50,'SETTING PRODUKSI Januari'!P:P)</f>
        <v>0</v>
      </c>
      <c r="F50" s="38"/>
      <c r="G50" s="74">
        <f t="shared" si="0"/>
        <v>0</v>
      </c>
      <c r="H50" s="99">
        <f>IFERROR(G50/('SETTING PRODUKSI Januari'!E58/'SETTING PRODUKSI Januari'!$E$8),0)</f>
        <v>0</v>
      </c>
    </row>
    <row r="51" spans="2:8" x14ac:dyDescent="0.25">
      <c r="B51" s="38"/>
      <c r="C51" s="38" t="s">
        <v>218</v>
      </c>
      <c r="D51" s="38" t="s">
        <v>219</v>
      </c>
      <c r="E51" s="99">
        <f>SUMIF('SETTING PRODUKSI Januari'!C:C,'STOK AKHIR DAN ESKES LVL STOK'!C51,'SETTING PRODUKSI Januari'!P:P)</f>
        <v>0</v>
      </c>
      <c r="F51" s="38"/>
      <c r="G51" s="74">
        <f t="shared" si="0"/>
        <v>0</v>
      </c>
      <c r="H51" s="99">
        <f>IFERROR(G51/('SETTING PRODUKSI Januari'!E59/'SETTING PRODUKSI Januari'!$E$8),0)</f>
        <v>0</v>
      </c>
    </row>
    <row r="52" spans="2:8" x14ac:dyDescent="0.25">
      <c r="B52" s="38"/>
      <c r="C52" s="38" t="s">
        <v>220</v>
      </c>
      <c r="D52" s="38" t="s">
        <v>221</v>
      </c>
      <c r="E52" s="99">
        <f>SUMIF('SETTING PRODUKSI Januari'!C:C,'STOK AKHIR DAN ESKES LVL STOK'!C52,'SETTING PRODUKSI Januari'!P:P)</f>
        <v>0</v>
      </c>
      <c r="F52" s="38"/>
      <c r="G52" s="74">
        <f t="shared" si="0"/>
        <v>0</v>
      </c>
      <c r="H52" s="99">
        <f>IFERROR(G52/('SETTING PRODUKSI Januari'!E60/'SETTING PRODUKSI Januari'!$E$8),0)</f>
        <v>0</v>
      </c>
    </row>
    <row r="53" spans="2:8" x14ac:dyDescent="0.25">
      <c r="B53" s="38"/>
      <c r="C53" s="38" t="s">
        <v>222</v>
      </c>
      <c r="D53" s="38" t="s">
        <v>223</v>
      </c>
      <c r="E53" s="99">
        <f>SUMIF('SETTING PRODUKSI Januari'!C:C,'STOK AKHIR DAN ESKES LVL STOK'!C53,'SETTING PRODUKSI Januari'!P:P)</f>
        <v>0</v>
      </c>
      <c r="F53" s="38"/>
      <c r="G53" s="74">
        <f t="shared" si="0"/>
        <v>0</v>
      </c>
      <c r="H53" s="99">
        <f>IFERROR(G53/('SETTING PRODUKSI Januari'!E61/'SETTING PRODUKSI Januari'!$E$8),0)</f>
        <v>0</v>
      </c>
    </row>
    <row r="54" spans="2:8" x14ac:dyDescent="0.25">
      <c r="B54" s="38"/>
      <c r="C54" s="38" t="s">
        <v>224</v>
      </c>
      <c r="D54" s="38" t="s">
        <v>225</v>
      </c>
      <c r="E54" s="99">
        <f>SUMIF('SETTING PRODUKSI Januari'!C:C,'STOK AKHIR DAN ESKES LVL STOK'!C54,'SETTING PRODUKSI Januari'!P:P)</f>
        <v>0</v>
      </c>
      <c r="F54" s="38"/>
      <c r="G54" s="74">
        <f t="shared" si="0"/>
        <v>0</v>
      </c>
      <c r="H54" s="99">
        <f>IFERROR(G54/('SETTING PRODUKSI Januari'!E62/'SETTING PRODUKSI Januari'!$E$8),0)</f>
        <v>0</v>
      </c>
    </row>
    <row r="55" spans="2:8" x14ac:dyDescent="0.25">
      <c r="B55" s="38"/>
      <c r="C55" s="38" t="s">
        <v>226</v>
      </c>
      <c r="D55" s="38" t="s">
        <v>227</v>
      </c>
      <c r="E55" s="99">
        <f>SUMIF('SETTING PRODUKSI Januari'!C:C,'STOK AKHIR DAN ESKES LVL STOK'!C55,'SETTING PRODUKSI Januari'!P:P)</f>
        <v>0</v>
      </c>
      <c r="F55" s="38"/>
      <c r="G55" s="74">
        <f t="shared" si="0"/>
        <v>0</v>
      </c>
      <c r="H55" s="99">
        <f>IFERROR(G55/('SETTING PRODUKSI Januari'!E63/'SETTING PRODUKSI Januari'!$E$8),0)</f>
        <v>0</v>
      </c>
    </row>
    <row r="56" spans="2:8" x14ac:dyDescent="0.25">
      <c r="B56" s="38"/>
      <c r="C56" s="38" t="s">
        <v>228</v>
      </c>
      <c r="D56" s="38" t="s">
        <v>229</v>
      </c>
      <c r="E56" s="99">
        <f>SUMIF('SETTING PRODUKSI Januari'!C:C,'STOK AKHIR DAN ESKES LVL STOK'!C56,'SETTING PRODUKSI Januari'!P:P)</f>
        <v>0</v>
      </c>
      <c r="F56" s="38"/>
      <c r="G56" s="74">
        <f t="shared" si="0"/>
        <v>0</v>
      </c>
      <c r="H56" s="99">
        <f>IFERROR(G56/('SETTING PRODUKSI Januari'!E64/'SETTING PRODUKSI Januari'!$E$8),0)</f>
        <v>0</v>
      </c>
    </row>
    <row r="57" spans="2:8" x14ac:dyDescent="0.25">
      <c r="B57" s="38"/>
      <c r="C57" s="38" t="s">
        <v>230</v>
      </c>
      <c r="D57" s="38" t="s">
        <v>231</v>
      </c>
      <c r="E57" s="99">
        <f>SUMIF('SETTING PRODUKSI Januari'!C:C,'STOK AKHIR DAN ESKES LVL STOK'!C57,'SETTING PRODUKSI Januari'!P:P)</f>
        <v>0</v>
      </c>
      <c r="F57" s="38"/>
      <c r="G57" s="74">
        <f t="shared" si="0"/>
        <v>0</v>
      </c>
      <c r="H57" s="99">
        <f>IFERROR(G57/('SETTING PRODUKSI Januari'!E65/'SETTING PRODUKSI Januari'!$E$8),0)</f>
        <v>0</v>
      </c>
    </row>
    <row r="58" spans="2:8" x14ac:dyDescent="0.25">
      <c r="B58" s="38"/>
      <c r="C58" s="38" t="s">
        <v>232</v>
      </c>
      <c r="D58" s="38" t="s">
        <v>233</v>
      </c>
      <c r="E58" s="99">
        <f>SUMIF('SETTING PRODUKSI Januari'!C:C,'STOK AKHIR DAN ESKES LVL STOK'!C58,'SETTING PRODUKSI Januari'!P:P)</f>
        <v>0</v>
      </c>
      <c r="F58" s="38"/>
      <c r="G58" s="74">
        <f t="shared" si="0"/>
        <v>0</v>
      </c>
      <c r="H58" s="99">
        <f>IFERROR(G58/('SETTING PRODUKSI Januari'!E66/'SETTING PRODUKSI Januari'!$E$8),0)</f>
        <v>0</v>
      </c>
    </row>
    <row r="59" spans="2:8" x14ac:dyDescent="0.25">
      <c r="B59" s="38"/>
      <c r="C59" s="38" t="s">
        <v>234</v>
      </c>
      <c r="D59" s="38" t="s">
        <v>235</v>
      </c>
      <c r="E59" s="99">
        <f>SUMIF('SETTING PRODUKSI Januari'!C:C,'STOK AKHIR DAN ESKES LVL STOK'!C59,'SETTING PRODUKSI Januari'!P:P)</f>
        <v>0</v>
      </c>
      <c r="F59" s="38"/>
      <c r="G59" s="74">
        <f t="shared" si="0"/>
        <v>0</v>
      </c>
      <c r="H59" s="99">
        <f>IFERROR(G59/('SETTING PRODUKSI Januari'!E67/'SETTING PRODUKSI Januari'!$E$8),0)</f>
        <v>0</v>
      </c>
    </row>
    <row r="60" spans="2:8" x14ac:dyDescent="0.25">
      <c r="B60" s="38"/>
      <c r="C60" s="38" t="s">
        <v>236</v>
      </c>
      <c r="D60" s="38" t="s">
        <v>237</v>
      </c>
      <c r="E60" s="99">
        <f>SUMIF('SETTING PRODUKSI Januari'!C:C,'STOK AKHIR DAN ESKES LVL STOK'!C60,'SETTING PRODUKSI Januari'!P:P)</f>
        <v>0</v>
      </c>
      <c r="F60" s="38"/>
      <c r="G60" s="74">
        <f t="shared" si="0"/>
        <v>0</v>
      </c>
      <c r="H60" s="99">
        <f>IFERROR(G60/('SETTING PRODUKSI Januari'!E68/'SETTING PRODUKSI Januari'!$E$8),0)</f>
        <v>0</v>
      </c>
    </row>
    <row r="61" spans="2:8" x14ac:dyDescent="0.25">
      <c r="B61" s="38"/>
      <c r="C61" s="38" t="s">
        <v>238</v>
      </c>
      <c r="D61" s="38" t="s">
        <v>239</v>
      </c>
      <c r="E61" s="99">
        <f>SUMIF('SETTING PRODUKSI Januari'!C:C,'STOK AKHIR DAN ESKES LVL STOK'!C61,'SETTING PRODUKSI Januari'!P:P)</f>
        <v>0</v>
      </c>
      <c r="F61" s="38"/>
      <c r="G61" s="74">
        <f t="shared" si="0"/>
        <v>0</v>
      </c>
      <c r="H61" s="99">
        <f>IFERROR(G61/('SETTING PRODUKSI Januari'!E69/'SETTING PRODUKSI Januari'!$E$8),0)</f>
        <v>0</v>
      </c>
    </row>
    <row r="62" spans="2:8" x14ac:dyDescent="0.25">
      <c r="B62" s="38"/>
      <c r="C62" s="38" t="s">
        <v>240</v>
      </c>
      <c r="D62" s="38" t="s">
        <v>241</v>
      </c>
      <c r="E62" s="99">
        <f>SUMIF('SETTING PRODUKSI Januari'!C:C,'STOK AKHIR DAN ESKES LVL STOK'!C62,'SETTING PRODUKSI Januari'!P:P)</f>
        <v>0</v>
      </c>
      <c r="F62" s="38"/>
      <c r="G62" s="74">
        <f t="shared" si="0"/>
        <v>0</v>
      </c>
      <c r="H62" s="99">
        <f>IFERROR(G62/('SETTING PRODUKSI Januari'!E70/'SETTING PRODUKSI Januari'!$E$8),0)</f>
        <v>0</v>
      </c>
    </row>
    <row r="63" spans="2:8" x14ac:dyDescent="0.25">
      <c r="B63" s="38"/>
      <c r="C63" s="38" t="s">
        <v>242</v>
      </c>
      <c r="D63" s="38" t="s">
        <v>243</v>
      </c>
      <c r="E63" s="99">
        <f>SUMIF('SETTING PRODUKSI Januari'!C:C,'STOK AKHIR DAN ESKES LVL STOK'!C63,'SETTING PRODUKSI Januari'!P:P)</f>
        <v>0</v>
      </c>
      <c r="F63" s="38"/>
      <c r="G63" s="74">
        <f t="shared" si="0"/>
        <v>0</v>
      </c>
      <c r="H63" s="99">
        <f>IFERROR(G63/('SETTING PRODUKSI Januari'!E71/'SETTING PRODUKSI Januari'!$E$8),0)</f>
        <v>0</v>
      </c>
    </row>
    <row r="64" spans="2:8" x14ac:dyDescent="0.25">
      <c r="B64" s="38"/>
      <c r="C64" s="38" t="s">
        <v>244</v>
      </c>
      <c r="D64" s="38" t="s">
        <v>245</v>
      </c>
      <c r="E64" s="99">
        <f>SUMIF('SETTING PRODUKSI Januari'!C:C,'STOK AKHIR DAN ESKES LVL STOK'!C64,'SETTING PRODUKSI Januari'!P:P)</f>
        <v>0</v>
      </c>
      <c r="F64" s="38"/>
      <c r="G64" s="74">
        <f t="shared" si="0"/>
        <v>0</v>
      </c>
      <c r="H64" s="99">
        <f>IFERROR(G64/('SETTING PRODUKSI Januari'!E72/'SETTING PRODUKSI Januari'!$E$8),0)</f>
        <v>0</v>
      </c>
    </row>
    <row r="65" spans="2:8" x14ac:dyDescent="0.25">
      <c r="B65" s="38"/>
      <c r="C65" s="38" t="s">
        <v>246</v>
      </c>
      <c r="D65" s="38" t="s">
        <v>247</v>
      </c>
      <c r="E65" s="99">
        <f>SUMIF('SETTING PRODUKSI Januari'!C:C,'STOK AKHIR DAN ESKES LVL STOK'!C65,'SETTING PRODUKSI Januari'!P:P)</f>
        <v>0</v>
      </c>
      <c r="F65" s="38"/>
      <c r="G65" s="74">
        <f t="shared" si="0"/>
        <v>0</v>
      </c>
      <c r="H65" s="99">
        <f>IFERROR(G65/('SETTING PRODUKSI Januari'!E73/'SETTING PRODUKSI Januari'!$E$8),0)</f>
        <v>0</v>
      </c>
    </row>
    <row r="66" spans="2:8" x14ac:dyDescent="0.25">
      <c r="B66" s="38"/>
      <c r="C66" s="38" t="s">
        <v>248</v>
      </c>
      <c r="D66" s="38" t="s">
        <v>249</v>
      </c>
      <c r="E66" s="99">
        <f>SUMIF('SETTING PRODUKSI Januari'!C:C,'STOK AKHIR DAN ESKES LVL STOK'!C66,'SETTING PRODUKSI Januari'!P:P)</f>
        <v>0</v>
      </c>
      <c r="F66" s="38"/>
      <c r="G66" s="74">
        <f t="shared" si="0"/>
        <v>0</v>
      </c>
      <c r="H66" s="99">
        <f>IFERROR(G66/('SETTING PRODUKSI Januari'!E74/'SETTING PRODUKSI Januari'!$E$8),0)</f>
        <v>0</v>
      </c>
    </row>
    <row r="67" spans="2:8" x14ac:dyDescent="0.25">
      <c r="B67" s="38"/>
      <c r="C67" s="38" t="s">
        <v>250</v>
      </c>
      <c r="D67" s="38" t="s">
        <v>251</v>
      </c>
      <c r="E67" s="99">
        <f>SUMIF('SETTING PRODUKSI Januari'!C:C,'STOK AKHIR DAN ESKES LVL STOK'!C67,'SETTING PRODUKSI Januari'!P:P)</f>
        <v>0</v>
      </c>
      <c r="F67" s="38"/>
      <c r="G67" s="74">
        <f t="shared" si="0"/>
        <v>0</v>
      </c>
      <c r="H67" s="99">
        <f>IFERROR(G67/('SETTING PRODUKSI Januari'!E75/'SETTING PRODUKSI Januari'!$E$8),0)</f>
        <v>0</v>
      </c>
    </row>
    <row r="68" spans="2:8" x14ac:dyDescent="0.25">
      <c r="B68" s="38"/>
      <c r="C68" s="38" t="s">
        <v>252</v>
      </c>
      <c r="D68" s="38" t="s">
        <v>253</v>
      </c>
      <c r="E68" s="99">
        <f>SUMIF('SETTING PRODUKSI Januari'!C:C,'STOK AKHIR DAN ESKES LVL STOK'!C68,'SETTING PRODUKSI Januari'!P:P)</f>
        <v>0</v>
      </c>
      <c r="F68" s="38"/>
      <c r="G68" s="74">
        <f t="shared" si="0"/>
        <v>0</v>
      </c>
      <c r="H68" s="99">
        <f>IFERROR(G68/('SETTING PRODUKSI Januari'!E76/'SETTING PRODUKSI Januari'!$E$8),0)</f>
        <v>0</v>
      </c>
    </row>
    <row r="69" spans="2:8" x14ac:dyDescent="0.25">
      <c r="B69" s="38"/>
      <c r="C69" s="38" t="s">
        <v>254</v>
      </c>
      <c r="D69" s="38" t="s">
        <v>255</v>
      </c>
      <c r="E69" s="99">
        <f>SUMIF('SETTING PRODUKSI Januari'!C:C,'STOK AKHIR DAN ESKES LVL STOK'!C69,'SETTING PRODUKSI Januari'!P:P)</f>
        <v>0</v>
      </c>
      <c r="F69" s="38"/>
      <c r="G69" s="74">
        <f t="shared" si="0"/>
        <v>0</v>
      </c>
      <c r="H69" s="99">
        <f>IFERROR(G69/('SETTING PRODUKSI Januari'!E77/'SETTING PRODUKSI Januari'!$E$8),0)</f>
        <v>0</v>
      </c>
    </row>
    <row r="70" spans="2:8" x14ac:dyDescent="0.25">
      <c r="B70" s="38"/>
      <c r="C70" s="38" t="s">
        <v>256</v>
      </c>
      <c r="D70" s="38" t="s">
        <v>257</v>
      </c>
      <c r="E70" s="99">
        <f>SUMIF('SETTING PRODUKSI Januari'!C:C,'STOK AKHIR DAN ESKES LVL STOK'!C70,'SETTING PRODUKSI Januari'!P:P)</f>
        <v>0</v>
      </c>
      <c r="F70" s="38"/>
      <c r="G70" s="74">
        <f t="shared" si="0"/>
        <v>0</v>
      </c>
      <c r="H70" s="99">
        <f>IFERROR(G70/('SETTING PRODUKSI Januari'!E78/'SETTING PRODUKSI Januari'!$E$8),0)</f>
        <v>0</v>
      </c>
    </row>
    <row r="71" spans="2:8" x14ac:dyDescent="0.25">
      <c r="B71" s="38"/>
      <c r="C71" s="38" t="s">
        <v>258</v>
      </c>
      <c r="D71" s="38" t="s">
        <v>259</v>
      </c>
      <c r="E71" s="99">
        <f>SUMIF('SETTING PRODUKSI Januari'!C:C,'STOK AKHIR DAN ESKES LVL STOK'!C71,'SETTING PRODUKSI Januari'!P:P)</f>
        <v>0</v>
      </c>
      <c r="F71" s="38"/>
      <c r="G71" s="74">
        <f t="shared" si="0"/>
        <v>0</v>
      </c>
      <c r="H71" s="99">
        <f>IFERROR(G71/('SETTING PRODUKSI Januari'!E79/'SETTING PRODUKSI Januari'!$E$8),0)</f>
        <v>0</v>
      </c>
    </row>
    <row r="72" spans="2:8" x14ac:dyDescent="0.25">
      <c r="B72" s="38"/>
      <c r="C72" s="38"/>
      <c r="D72" s="38"/>
      <c r="E72" s="99">
        <f>SUMIF('SETTING PRODUKSI Januari'!C:C,'STOK AKHIR DAN ESKES LVL STOK'!C72,'SETTING PRODUKSI Januari'!P:P)</f>
        <v>0</v>
      </c>
      <c r="F72" s="38"/>
      <c r="G72" s="74">
        <f t="shared" ref="G72:G135" si="1">E72+F72</f>
        <v>0</v>
      </c>
      <c r="H72" s="99">
        <f>IFERROR(G72/('SETTING PRODUKSI Januari'!E80/'SETTING PRODUKSI Januari'!$E$8),0)</f>
        <v>0</v>
      </c>
    </row>
    <row r="73" spans="2:8" x14ac:dyDescent="0.25">
      <c r="B73" s="38"/>
      <c r="C73" s="38"/>
      <c r="D73" s="38"/>
      <c r="E73" s="99">
        <f>SUMIF('SETTING PRODUKSI Januari'!C:C,'STOK AKHIR DAN ESKES LVL STOK'!C73,'SETTING PRODUKSI Januari'!P:P)</f>
        <v>0</v>
      </c>
      <c r="F73" s="38"/>
      <c r="G73" s="74">
        <f t="shared" si="1"/>
        <v>0</v>
      </c>
      <c r="H73" s="99">
        <f>IFERROR(G73/('SETTING PRODUKSI Januari'!E81/'SETTING PRODUKSI Januari'!$E$8),0)</f>
        <v>0</v>
      </c>
    </row>
    <row r="74" spans="2:8" x14ac:dyDescent="0.25">
      <c r="B74" s="38"/>
      <c r="C74" s="38"/>
      <c r="D74" s="58" t="s">
        <v>122</v>
      </c>
      <c r="E74" s="99">
        <f>SUM(E7:E73)</f>
        <v>71.736917692307685</v>
      </c>
      <c r="F74" s="99">
        <f>SUM(F7:F73)</f>
        <v>0</v>
      </c>
      <c r="G74" s="74">
        <f t="shared" si="1"/>
        <v>71.736917692307685</v>
      </c>
      <c r="H74" s="99">
        <f>IFERROR(G74/('SETTING PRODUKSI Januari'!E82/'SETTING PRODUKSI Januari'!$E$8),0)</f>
        <v>3.1674203462058834</v>
      </c>
    </row>
    <row r="75" spans="2:8" x14ac:dyDescent="0.25">
      <c r="B75" s="105"/>
      <c r="C75" s="105" t="s">
        <v>120</v>
      </c>
      <c r="D75" s="53"/>
      <c r="E75" s="99">
        <f>SUMIF('SETTING PRODUKSI Januari'!C:C,'STOK AKHIR DAN ESKES LVL STOK'!C75,'SETTING PRODUKSI Januari'!P:P)</f>
        <v>0</v>
      </c>
      <c r="F75" s="38"/>
      <c r="G75" s="74">
        <f t="shared" si="1"/>
        <v>0</v>
      </c>
      <c r="H75" s="99">
        <f>IFERROR(G75/('SETTING PRODUKSI Januari'!E83/'SETTING PRODUKSI Januari'!$E$8),0)</f>
        <v>0</v>
      </c>
    </row>
    <row r="76" spans="2:8" x14ac:dyDescent="0.25">
      <c r="B76" s="38"/>
      <c r="C76" s="38" t="s">
        <v>91</v>
      </c>
      <c r="D76" s="38" t="s">
        <v>92</v>
      </c>
      <c r="E76" s="99">
        <f>SUMIF('SETTING PRODUKSI Januari'!C:C,'STOK AKHIR DAN ESKES LVL STOK'!C76,'SETTING PRODUKSI Januari'!P:P)</f>
        <v>0</v>
      </c>
      <c r="F76" s="99">
        <f>SUMIF('SETTING PRODUKSI Januari'!AX:AX,'STOK AKHIR DAN ESKES LVL STOK'!D76,'SETTING PRODUKSI Januari'!AG:AG)/1000</f>
        <v>0</v>
      </c>
      <c r="G76" s="74">
        <f t="shared" si="1"/>
        <v>0</v>
      </c>
      <c r="H76" s="99">
        <f>IFERROR(G76/('SETTING PRODUKSI Januari'!E84/'SETTING PRODUKSI Januari'!$E$8),0)</f>
        <v>0</v>
      </c>
    </row>
    <row r="77" spans="2:8" x14ac:dyDescent="0.25">
      <c r="B77" s="38"/>
      <c r="C77" s="38" t="s">
        <v>85</v>
      </c>
      <c r="D77" s="38" t="s">
        <v>86</v>
      </c>
      <c r="E77" s="99">
        <f>SUMIF('SETTING PRODUKSI Januari'!C:C,'STOK AKHIR DAN ESKES LVL STOK'!C77,'SETTING PRODUKSI Januari'!P:P)</f>
        <v>1.2460000000000001E-2</v>
      </c>
      <c r="F77" s="99">
        <f>SUMIF('SETTING PRODUKSI Januari'!AX:AX,'STOK AKHIR DAN ESKES LVL STOK'!D77,'SETTING PRODUKSI Januari'!AG:AG)/1000</f>
        <v>0</v>
      </c>
      <c r="G77" s="74">
        <f t="shared" si="1"/>
        <v>1.2460000000000001E-2</v>
      </c>
      <c r="H77" s="99">
        <f>IFERROR(G77/('SETTING PRODUKSI Januari'!E85/'SETTING PRODUKSI Januari'!$E$8),0)</f>
        <v>1.2958399999999999</v>
      </c>
    </row>
    <row r="78" spans="2:8" x14ac:dyDescent="0.25">
      <c r="B78" s="38"/>
      <c r="C78" s="38" t="s">
        <v>93</v>
      </c>
      <c r="D78" s="38" t="s">
        <v>94</v>
      </c>
      <c r="E78" s="99">
        <f>SUMIF('SETTING PRODUKSI Januari'!C:C,'STOK AKHIR DAN ESKES LVL STOK'!C78,'SETTING PRODUKSI Januari'!P:P)</f>
        <v>0</v>
      </c>
      <c r="F78" s="99">
        <f>SUMIF('SETTING PRODUKSI Januari'!AX:AX,'STOK AKHIR DAN ESKES LVL STOK'!D78,'SETTING PRODUKSI Januari'!AG:AG)/1000</f>
        <v>0</v>
      </c>
      <c r="G78" s="74">
        <f t="shared" si="1"/>
        <v>0</v>
      </c>
      <c r="H78" s="99">
        <f>IFERROR(G78/('SETTING PRODUKSI Januari'!E86/'SETTING PRODUKSI Januari'!$E$8),0)</f>
        <v>0</v>
      </c>
    </row>
    <row r="79" spans="2:8" x14ac:dyDescent="0.25">
      <c r="B79" s="38"/>
      <c r="C79" s="38" t="s">
        <v>89</v>
      </c>
      <c r="D79" s="38" t="s">
        <v>90</v>
      </c>
      <c r="E79" s="99">
        <f>SUMIF('SETTING PRODUKSI Januari'!C:C,'STOK AKHIR DAN ESKES LVL STOK'!C79,'SETTING PRODUKSI Januari'!P:P)</f>
        <v>4.7284400000000009</v>
      </c>
      <c r="F79" s="99">
        <f>SUMIF('SETTING PRODUKSI Januari'!AX:AX,'STOK AKHIR DAN ESKES LVL STOK'!D79,'SETTING PRODUKSI Januari'!AG:AG)/1000</f>
        <v>0</v>
      </c>
      <c r="G79" s="74">
        <f t="shared" si="1"/>
        <v>4.7284400000000009</v>
      </c>
      <c r="H79" s="99">
        <f>IFERROR(G79/('SETTING PRODUKSI Januari'!#REF!/'SETTING PRODUKSI Januari'!$E$8),0)</f>
        <v>0</v>
      </c>
    </row>
    <row r="80" spans="2:8" x14ac:dyDescent="0.25">
      <c r="B80" s="38"/>
      <c r="C80" s="38" t="s">
        <v>87</v>
      </c>
      <c r="D80" s="38" t="s">
        <v>88</v>
      </c>
      <c r="E80" s="99">
        <f>SUMIF('SETTING PRODUKSI Januari'!C:C,'STOK AKHIR DAN ESKES LVL STOK'!C80,'SETTING PRODUKSI Januari'!P:P)</f>
        <v>3.1633938461538449</v>
      </c>
      <c r="F80" s="99">
        <f>SUMIF('SETTING PRODUKSI Januari'!AX:AX,'STOK AKHIR DAN ESKES LVL STOK'!D80,'SETTING PRODUKSI Januari'!AG:AG)/1000</f>
        <v>0</v>
      </c>
      <c r="G80" s="74">
        <f t="shared" si="1"/>
        <v>3.1633938461538449</v>
      </c>
      <c r="H80" s="99">
        <f>IFERROR(G80/('SETTING PRODUKSI Januari'!E87/'SETTING PRODUKSI Januari'!$E$8),0)</f>
        <v>117.49748571428567</v>
      </c>
    </row>
    <row r="81" spans="2:8" x14ac:dyDescent="0.25">
      <c r="B81" s="38"/>
      <c r="C81" s="38" t="s">
        <v>260</v>
      </c>
      <c r="D81" s="38" t="s">
        <v>261</v>
      </c>
      <c r="E81" s="99">
        <f>SUMIF('SETTING PRODUKSI Januari'!C:C,'STOK AKHIR DAN ESKES LVL STOK'!C81,'SETTING PRODUKSI Januari'!P:P)</f>
        <v>0</v>
      </c>
      <c r="F81" s="99">
        <f>SUMIF('SETTING PRODUKSI Januari'!AX:AX,'STOK AKHIR DAN ESKES LVL STOK'!D81,'SETTING PRODUKSI Januari'!AG:AG)/1000</f>
        <v>0</v>
      </c>
      <c r="G81" s="74">
        <f t="shared" si="1"/>
        <v>0</v>
      </c>
      <c r="H81" s="99">
        <f>IFERROR(G81/('SETTING PRODUKSI Januari'!E88/'SETTING PRODUKSI Januari'!$E$8),0)</f>
        <v>0</v>
      </c>
    </row>
    <row r="82" spans="2:8" x14ac:dyDescent="0.25">
      <c r="B82" s="38"/>
      <c r="C82" s="38" t="s">
        <v>101</v>
      </c>
      <c r="D82" s="38" t="s">
        <v>262</v>
      </c>
      <c r="E82" s="99">
        <f>SUMIF('SETTING PRODUKSI Januari'!C:C,'STOK AKHIR DAN ESKES LVL STOK'!C82,'SETTING PRODUKSI Januari'!P:P)</f>
        <v>1.5744407692307689</v>
      </c>
      <c r="F82" s="99">
        <f>SUMIF('SETTING PRODUKSI Januari'!AX:AX,'STOK AKHIR DAN ESKES LVL STOK'!D82,'SETTING PRODUKSI Januari'!AG:AG)/1000</f>
        <v>0</v>
      </c>
      <c r="G82" s="74">
        <f t="shared" si="1"/>
        <v>1.5744407692307689</v>
      </c>
      <c r="H82" s="99">
        <f>IFERROR(G82/('SETTING PRODUKSI Januari'!E89/'SETTING PRODUKSI Januari'!$E$8),0)</f>
        <v>1023.3864999999998</v>
      </c>
    </row>
    <row r="83" spans="2:8" x14ac:dyDescent="0.25">
      <c r="B83" s="38"/>
      <c r="C83" s="38" t="s">
        <v>44</v>
      </c>
      <c r="D83" s="38" t="s">
        <v>45</v>
      </c>
      <c r="E83" s="99">
        <f>SUMIF('SETTING PRODUKSI Januari'!C:C,'STOK AKHIR DAN ESKES LVL STOK'!C83,'SETTING PRODUKSI Januari'!P:P)</f>
        <v>1.9216999999999986</v>
      </c>
      <c r="F83" s="99">
        <f>SUMIF('SETTING PRODUKSI Januari'!AX:AX,'STOK AKHIR DAN ESKES LVL STOK'!D83,'SETTING PRODUKSI Januari'!AG:AG)/1000</f>
        <v>0</v>
      </c>
      <c r="G83" s="74">
        <f t="shared" si="1"/>
        <v>1.9216999999999986</v>
      </c>
      <c r="H83" s="99">
        <f>IFERROR(G83/('SETTING PRODUKSI Januari'!E90/'SETTING PRODUKSI Januari'!$E$8),0)</f>
        <v>3.9685623510722765</v>
      </c>
    </row>
    <row r="84" spans="2:8" x14ac:dyDescent="0.25">
      <c r="B84" s="38"/>
      <c r="C84" s="38" t="s">
        <v>50</v>
      </c>
      <c r="D84" s="38" t="s">
        <v>51</v>
      </c>
      <c r="E84" s="99">
        <f>SUMIF('SETTING PRODUKSI Januari'!C:C,'STOK AKHIR DAN ESKES LVL STOK'!C84,'SETTING PRODUKSI Januari'!P:P)</f>
        <v>0.11923076923076931</v>
      </c>
      <c r="F84" s="99">
        <f>SUMIF('SETTING PRODUKSI Januari'!AX:AX,'STOK AKHIR DAN ESKES LVL STOK'!D84,'SETTING PRODUKSI Januari'!AG:AG)/1000</f>
        <v>0</v>
      </c>
      <c r="G84" s="74">
        <f t="shared" si="1"/>
        <v>0.11923076923076931</v>
      </c>
      <c r="H84" s="99">
        <f>IFERROR(G84/('SETTING PRODUKSI Januari'!E91/'SETTING PRODUKSI Januari'!$E$8),0)</f>
        <v>1.823529411764707</v>
      </c>
    </row>
    <row r="85" spans="2:8" x14ac:dyDescent="0.25">
      <c r="B85" s="38"/>
      <c r="C85" s="38" t="s">
        <v>48</v>
      </c>
      <c r="D85" s="38" t="s">
        <v>49</v>
      </c>
      <c r="E85" s="99">
        <f>SUMIF('SETTING PRODUKSI Januari'!C:C,'STOK AKHIR DAN ESKES LVL STOK'!C85,'SETTING PRODUKSI Januari'!P:P)</f>
        <v>0.1973076923076923</v>
      </c>
      <c r="F85" s="99">
        <f>SUMIF('SETTING PRODUKSI Januari'!AX:AX,'STOK AKHIR DAN ESKES LVL STOK'!D85,'SETTING PRODUKSI Januari'!AG:AG)/1000</f>
        <v>0</v>
      </c>
      <c r="G85" s="74">
        <f t="shared" si="1"/>
        <v>0.1973076923076923</v>
      </c>
      <c r="H85" s="99">
        <f>IFERROR(G85/('SETTING PRODUKSI Januari'!E92/'SETTING PRODUKSI Januari'!$E$8),0)</f>
        <v>0.24948862127627291</v>
      </c>
    </row>
    <row r="86" spans="2:8" x14ac:dyDescent="0.25">
      <c r="B86" s="38"/>
      <c r="C86" s="38" t="s">
        <v>46</v>
      </c>
      <c r="D86" s="38" t="s">
        <v>47</v>
      </c>
      <c r="E86" s="99">
        <f>SUMIF('SETTING PRODUKSI Januari'!C:C,'STOK AKHIR DAN ESKES LVL STOK'!C86,'SETTING PRODUKSI Januari'!P:P)</f>
        <v>0.67433076923076918</v>
      </c>
      <c r="F86" s="99">
        <f>SUMIF('SETTING PRODUKSI Januari'!AX:AX,'STOK AKHIR DAN ESKES LVL STOK'!D86,'SETTING PRODUKSI Januari'!AG:AG)/1000</f>
        <v>0</v>
      </c>
      <c r="G86" s="74">
        <f t="shared" si="1"/>
        <v>0.67433076923076918</v>
      </c>
      <c r="H86" s="99">
        <f>IFERROR(G86/('SETTING PRODUKSI Januari'!E93/'SETTING PRODUKSI Januari'!$E$8),0)</f>
        <v>0.6568977144998126</v>
      </c>
    </row>
    <row r="87" spans="2:8" x14ac:dyDescent="0.25">
      <c r="B87" s="38"/>
      <c r="C87" s="38" t="s">
        <v>99</v>
      </c>
      <c r="D87" s="38" t="s">
        <v>100</v>
      </c>
      <c r="E87" s="99">
        <f>SUMIF('SETTING PRODUKSI Januari'!C:C,'STOK AKHIR DAN ESKES LVL STOK'!C87,'SETTING PRODUKSI Januari'!P:P)</f>
        <v>6.60656</v>
      </c>
      <c r="F87" s="99">
        <f>SUMIF('SETTING PRODUKSI Januari'!AX:AX,'STOK AKHIR DAN ESKES LVL STOK'!D87,'SETTING PRODUKSI Januari'!AG:AG)/1000</f>
        <v>0</v>
      </c>
      <c r="G87" s="74">
        <f t="shared" si="1"/>
        <v>6.60656</v>
      </c>
      <c r="H87" s="99">
        <f>IFERROR(G87/('SETTING PRODUKSI Januari'!E94/'SETTING PRODUKSI Januari'!$E$8),0)</f>
        <v>114.51370666666666</v>
      </c>
    </row>
    <row r="88" spans="2:8" x14ac:dyDescent="0.25">
      <c r="B88" s="38"/>
      <c r="C88" s="38" t="s">
        <v>97</v>
      </c>
      <c r="D88" s="38" t="s">
        <v>98</v>
      </c>
      <c r="E88" s="99">
        <f>SUMIF('SETTING PRODUKSI Januari'!C:C,'STOK AKHIR DAN ESKES LVL STOK'!C88,'SETTING PRODUKSI Januari'!P:P)</f>
        <v>13.614130769230769</v>
      </c>
      <c r="F88" s="99">
        <f>SUMIF('SETTING PRODUKSI Januari'!AX:AX,'STOK AKHIR DAN ESKES LVL STOK'!D88,'SETTING PRODUKSI Januari'!AG:AG)/1000</f>
        <v>0</v>
      </c>
      <c r="G88" s="74">
        <f t="shared" si="1"/>
        <v>13.614130769230769</v>
      </c>
      <c r="H88" s="99">
        <f>IFERROR(G88/('SETTING PRODUKSI Januari'!#REF!/'SETTING PRODUKSI Januari'!$E$8),0)</f>
        <v>0</v>
      </c>
    </row>
    <row r="89" spans="2:8" x14ac:dyDescent="0.25">
      <c r="B89" s="38"/>
      <c r="C89" s="38" t="s">
        <v>263</v>
      </c>
      <c r="D89" s="38" t="s">
        <v>264</v>
      </c>
      <c r="E89" s="99">
        <f>SUMIF('SETTING PRODUKSI Januari'!C:C,'STOK AKHIR DAN ESKES LVL STOK'!C89,'SETTING PRODUKSI Januari'!P:P)</f>
        <v>8.0676923076923035E-2</v>
      </c>
      <c r="F89" s="99">
        <f>SUMIF('SETTING PRODUKSI Januari'!AX:AX,'STOK AKHIR DAN ESKES LVL STOK'!D89,'SETTING PRODUKSI Januari'!AG:AG)/1000</f>
        <v>0</v>
      </c>
      <c r="G89" s="74">
        <f t="shared" si="1"/>
        <v>8.0676923076923035E-2</v>
      </c>
      <c r="H89" s="99">
        <f>IFERROR(G89/('SETTING PRODUKSI Januari'!E95/'SETTING PRODUKSI Januari'!$E$8),0)</f>
        <v>0.5124163744587209</v>
      </c>
    </row>
    <row r="90" spans="2:8" x14ac:dyDescent="0.25">
      <c r="B90" s="38"/>
      <c r="C90" s="38" t="s">
        <v>265</v>
      </c>
      <c r="D90" s="38" t="s">
        <v>102</v>
      </c>
      <c r="E90" s="99">
        <f>SUMIF('SETTING PRODUKSI Januari'!C:C,'STOK AKHIR DAN ESKES LVL STOK'!C90,'SETTING PRODUKSI Januari'!P:P)</f>
        <v>29.730769230769241</v>
      </c>
      <c r="F90" s="99">
        <f>SUMIF('SETTING PRODUKSI Januari'!AX:AX,'STOK AKHIR DAN ESKES LVL STOK'!D90,'SETTING PRODUKSI Januari'!AG:AG)/1000</f>
        <v>0</v>
      </c>
      <c r="G90" s="74">
        <f t="shared" si="1"/>
        <v>29.730769230769241</v>
      </c>
      <c r="H90" s="99">
        <f>IFERROR(G90/('SETTING PRODUKSI Januari'!E96/'SETTING PRODUKSI Januari'!$E$8),0)</f>
        <v>17.541869014659834</v>
      </c>
    </row>
    <row r="91" spans="2:8" x14ac:dyDescent="0.25">
      <c r="B91" s="38"/>
      <c r="C91" s="38" t="s">
        <v>266</v>
      </c>
      <c r="D91" s="38" t="s">
        <v>267</v>
      </c>
      <c r="E91" s="99">
        <f>SUMIF('SETTING PRODUKSI Januari'!C:C,'STOK AKHIR DAN ESKES LVL STOK'!C91,'SETTING PRODUKSI Januari'!P:P)</f>
        <v>0.18423076923076931</v>
      </c>
      <c r="F91" s="99">
        <f>SUMIF('SETTING PRODUKSI Januari'!AX:AX,'STOK AKHIR DAN ESKES LVL STOK'!D91,'SETTING PRODUKSI Januari'!AG:AG)/1000</f>
        <v>0</v>
      </c>
      <c r="G91" s="74">
        <f t="shared" si="1"/>
        <v>0.18423076923076931</v>
      </c>
      <c r="H91" s="99">
        <f>IFERROR(G91/('SETTING PRODUKSI Januari'!#REF!/'SETTING PRODUKSI Januari'!$E$8),0)</f>
        <v>0</v>
      </c>
    </row>
    <row r="92" spans="2:8" x14ac:dyDescent="0.25">
      <c r="B92" s="38"/>
      <c r="C92" s="38" t="s">
        <v>103</v>
      </c>
      <c r="D92" s="38" t="s">
        <v>104</v>
      </c>
      <c r="E92" s="99">
        <f>SUMIF('SETTING PRODUKSI Januari'!C:C,'STOK AKHIR DAN ESKES LVL STOK'!C92,'SETTING PRODUKSI Januari'!P:P)</f>
        <v>11.153846153846153</v>
      </c>
      <c r="F92" s="99">
        <f>SUMIF('SETTING PRODUKSI Januari'!AX:AX,'STOK AKHIR DAN ESKES LVL STOK'!D92,'SETTING PRODUKSI Januari'!AG:AG)/1000</f>
        <v>0</v>
      </c>
      <c r="G92" s="74">
        <f t="shared" si="1"/>
        <v>11.153846153846153</v>
      </c>
      <c r="H92" s="99">
        <f>IFERROR(G92/('SETTING PRODUKSI Januari'!E97/'SETTING PRODUKSI Januari'!$E$8),0)</f>
        <v>170.58823529411762</v>
      </c>
    </row>
    <row r="93" spans="2:8" x14ac:dyDescent="0.25">
      <c r="B93" s="38"/>
      <c r="C93" s="38" t="s">
        <v>95</v>
      </c>
      <c r="D93" s="38" t="s">
        <v>96</v>
      </c>
      <c r="E93" s="99">
        <f>SUMIF('SETTING PRODUKSI Januari'!C:C,'STOK AKHIR DAN ESKES LVL STOK'!C93,'SETTING PRODUKSI Januari'!P:P)</f>
        <v>2.9515384615384874E-2</v>
      </c>
      <c r="F93" s="99">
        <f>SUMIF('SETTING PRODUKSI Januari'!AX:AX,'STOK AKHIR DAN ESKES LVL STOK'!D93,'SETTING PRODUKSI Januari'!AG:AG)/1000</f>
        <v>0</v>
      </c>
      <c r="G93" s="74">
        <f t="shared" si="1"/>
        <v>2.9515384615384874E-2</v>
      </c>
      <c r="H93" s="99">
        <f>IFERROR(G93/('SETTING PRODUKSI Januari'!E98/'SETTING PRODUKSI Januari'!$E$8),0)</f>
        <v>0.15358997041882125</v>
      </c>
    </row>
    <row r="94" spans="2:8" x14ac:dyDescent="0.25">
      <c r="B94" s="38"/>
      <c r="C94" s="38" t="s">
        <v>268</v>
      </c>
      <c r="D94" s="38" t="s">
        <v>269</v>
      </c>
      <c r="E94" s="99">
        <f>SUMIF('SETTING PRODUKSI Januari'!C:C,'STOK AKHIR DAN ESKES LVL STOK'!C94,'SETTING PRODUKSI Januari'!P:P)</f>
        <v>0</v>
      </c>
      <c r="F94" s="99">
        <f>SUMIF('SETTING PRODUKSI Januari'!AX:AX,'STOK AKHIR DAN ESKES LVL STOK'!D94,'SETTING PRODUKSI Januari'!AG:AG)/1000</f>
        <v>0</v>
      </c>
      <c r="G94" s="74">
        <f t="shared" si="1"/>
        <v>0</v>
      </c>
      <c r="H94" s="99">
        <f>IFERROR(G94/('SETTING PRODUKSI Januari'!E99/'SETTING PRODUKSI Januari'!$E$8),0)</f>
        <v>0</v>
      </c>
    </row>
    <row r="95" spans="2:8" x14ac:dyDescent="0.25">
      <c r="B95" s="38"/>
      <c r="C95" s="38"/>
      <c r="D95" s="38"/>
      <c r="E95" s="99">
        <f>SUMIF('SETTING PRODUKSI Januari'!C:C,'STOK AKHIR DAN ESKES LVL STOK'!C95,'SETTING PRODUKSI Januari'!P:P)</f>
        <v>0</v>
      </c>
      <c r="F95" s="38"/>
      <c r="G95" s="74">
        <f t="shared" si="1"/>
        <v>0</v>
      </c>
      <c r="H95" s="99">
        <f>IFERROR(G95/('SETTING PRODUKSI Januari'!E100/'SETTING PRODUKSI Januari'!$E$8),0)</f>
        <v>0</v>
      </c>
    </row>
    <row r="96" spans="2:8" x14ac:dyDescent="0.25">
      <c r="B96" s="38"/>
      <c r="C96" s="38"/>
      <c r="D96" s="38"/>
      <c r="E96" s="99">
        <f>SUMIF('SETTING PRODUKSI Januari'!C:C,'STOK AKHIR DAN ESKES LVL STOK'!C96,'SETTING PRODUKSI Januari'!P:P)</f>
        <v>0</v>
      </c>
      <c r="F96" s="38"/>
      <c r="G96" s="74">
        <f t="shared" si="1"/>
        <v>0</v>
      </c>
      <c r="H96" s="99">
        <f>IFERROR(G96/('SETTING PRODUKSI Januari'!E101/'SETTING PRODUKSI Januari'!$E$8),0)</f>
        <v>0</v>
      </c>
    </row>
    <row r="97" spans="2:8" x14ac:dyDescent="0.25">
      <c r="B97" s="38"/>
      <c r="C97" s="38"/>
      <c r="D97" s="38"/>
      <c r="E97" s="99">
        <f>SUMIF('SETTING PRODUKSI Januari'!C:C,'STOK AKHIR DAN ESKES LVL STOK'!C97,'SETTING PRODUKSI Januari'!P:P)</f>
        <v>0</v>
      </c>
      <c r="F97" s="38"/>
      <c r="G97" s="74">
        <f t="shared" si="1"/>
        <v>0</v>
      </c>
      <c r="H97" s="99">
        <f>IFERROR(G97/('SETTING PRODUKSI Januari'!#REF!/'SETTING PRODUKSI Januari'!$E$8),0)</f>
        <v>0</v>
      </c>
    </row>
    <row r="98" spans="2:8" x14ac:dyDescent="0.25">
      <c r="B98" s="38"/>
      <c r="C98" s="38"/>
      <c r="D98" s="38"/>
      <c r="E98" s="99">
        <f>SUMIF('SETTING PRODUKSI Januari'!C:C,'STOK AKHIR DAN ESKES LVL STOK'!C98,'SETTING PRODUKSI Januari'!P:P)</f>
        <v>0</v>
      </c>
      <c r="F98" s="38"/>
      <c r="G98" s="74">
        <f t="shared" si="1"/>
        <v>0</v>
      </c>
      <c r="H98" s="99">
        <f>IFERROR(G98/('SETTING PRODUKSI Januari'!#REF!/'SETTING PRODUKSI Januari'!$E$8),0)</f>
        <v>0</v>
      </c>
    </row>
    <row r="99" spans="2:8" x14ac:dyDescent="0.25">
      <c r="B99" s="38"/>
      <c r="C99" s="38"/>
      <c r="D99" s="38"/>
      <c r="E99" s="99">
        <f>SUMIF('SETTING PRODUKSI Januari'!C:C,'STOK AKHIR DAN ESKES LVL STOK'!C99,'SETTING PRODUKSI Januari'!P:P)</f>
        <v>0</v>
      </c>
      <c r="F99" s="38"/>
      <c r="G99" s="74">
        <f t="shared" si="1"/>
        <v>0</v>
      </c>
      <c r="H99" s="99">
        <f>IFERROR(G99/('SETTING PRODUKSI Januari'!E102/'SETTING PRODUKSI Januari'!$E$8),0)</f>
        <v>0</v>
      </c>
    </row>
    <row r="100" spans="2:8" x14ac:dyDescent="0.25">
      <c r="B100" s="38"/>
      <c r="C100" s="38"/>
      <c r="D100" s="38"/>
      <c r="E100" s="99">
        <f>SUMIF('SETTING PRODUKSI Januari'!C:C,'STOK AKHIR DAN ESKES LVL STOK'!C100,'SETTING PRODUKSI Januari'!P:P)</f>
        <v>0</v>
      </c>
      <c r="F100" s="38"/>
      <c r="G100" s="74">
        <f t="shared" si="1"/>
        <v>0</v>
      </c>
      <c r="H100" s="99">
        <f>IFERROR(G100/('SETTING PRODUKSI Januari'!E103/'SETTING PRODUKSI Januari'!$E$8),0)</f>
        <v>0</v>
      </c>
    </row>
    <row r="101" spans="2:8" x14ac:dyDescent="0.25">
      <c r="B101" s="38"/>
      <c r="C101" s="38"/>
      <c r="D101" s="38"/>
      <c r="E101" s="99">
        <f>SUMIF('SETTING PRODUKSI Januari'!C:C,'STOK AKHIR DAN ESKES LVL STOK'!C101,'SETTING PRODUKSI Januari'!P:P)</f>
        <v>0</v>
      </c>
      <c r="F101" s="38"/>
      <c r="G101" s="74">
        <f t="shared" si="1"/>
        <v>0</v>
      </c>
      <c r="H101" s="99">
        <f>IFERROR(G101/('SETTING PRODUKSI Januari'!E104/'SETTING PRODUKSI Januari'!$E$8),0)</f>
        <v>0</v>
      </c>
    </row>
    <row r="102" spans="2:8" x14ac:dyDescent="0.25">
      <c r="B102" s="38"/>
      <c r="C102" s="38"/>
      <c r="D102" s="38"/>
      <c r="E102" s="99">
        <f>SUMIF('SETTING PRODUKSI Januari'!C:C,'STOK AKHIR DAN ESKES LVL STOK'!C102,'SETTING PRODUKSI Januari'!P:P)</f>
        <v>0</v>
      </c>
      <c r="F102" s="38"/>
      <c r="G102" s="74">
        <f t="shared" si="1"/>
        <v>0</v>
      </c>
      <c r="H102" s="99">
        <f>IFERROR(G102/('SETTING PRODUKSI Januari'!E105/'SETTING PRODUKSI Januari'!$E$8),0)</f>
        <v>0</v>
      </c>
    </row>
    <row r="103" spans="2:8" x14ac:dyDescent="0.25">
      <c r="B103" s="38"/>
      <c r="C103" s="38"/>
      <c r="D103" s="38"/>
      <c r="E103" s="99">
        <f>SUMIF('SETTING PRODUKSI Januari'!C:C,'STOK AKHIR DAN ESKES LVL STOK'!C103,'SETTING PRODUKSI Januari'!P:P)</f>
        <v>0</v>
      </c>
      <c r="F103" s="38"/>
      <c r="G103" s="74">
        <f t="shared" si="1"/>
        <v>0</v>
      </c>
      <c r="H103" s="99">
        <f>IFERROR(G103/('SETTING PRODUKSI Januari'!E106/'SETTING PRODUKSI Januari'!$E$8),0)</f>
        <v>0</v>
      </c>
    </row>
    <row r="104" spans="2:8" x14ac:dyDescent="0.25">
      <c r="B104" s="38"/>
      <c r="C104" s="38"/>
      <c r="D104" s="58" t="s">
        <v>122</v>
      </c>
      <c r="E104" s="99">
        <f>SUM(E76:E103)</f>
        <v>73.791033076923085</v>
      </c>
      <c r="F104" s="99">
        <f>SUM(F76:F103)</f>
        <v>0</v>
      </c>
      <c r="G104" s="74">
        <f t="shared" si="1"/>
        <v>73.791033076923085</v>
      </c>
      <c r="H104" s="99">
        <f>IFERROR(G104/('SETTING PRODUKSI Januari'!E107/'SETTING PRODUKSI Januari'!$E$8),0)</f>
        <v>1918.5668600000001</v>
      </c>
    </row>
    <row r="105" spans="2:8" x14ac:dyDescent="0.25">
      <c r="B105" s="52"/>
      <c r="C105" s="52" t="s">
        <v>121</v>
      </c>
      <c r="D105" s="53"/>
      <c r="E105" s="99">
        <f>SUMIF('SETTING PRODUKSI Januari'!C:C,'STOK AKHIR DAN ESKES LVL STOK'!C105,'SETTING PRODUKSI Januari'!P:P)</f>
        <v>0</v>
      </c>
      <c r="F105" s="38"/>
      <c r="G105" s="74">
        <f t="shared" si="1"/>
        <v>0</v>
      </c>
      <c r="H105" s="99">
        <f>IFERROR(G105/('SETTING PRODUKSI Januari'!E108/'SETTING PRODUKSI Januari'!$E$8),0)</f>
        <v>0</v>
      </c>
    </row>
    <row r="106" spans="2:8" x14ac:dyDescent="0.25">
      <c r="B106" s="38" t="s">
        <v>106</v>
      </c>
      <c r="C106" s="38" t="s">
        <v>270</v>
      </c>
      <c r="D106" s="38" t="s">
        <v>271</v>
      </c>
      <c r="E106" s="99">
        <f>SUMIF('SETTING PRODUKSI Januari'!C:C,'STOK AKHIR DAN ESKES LVL STOK'!C106,'SETTING PRODUKSI Januari'!P:P)</f>
        <v>0</v>
      </c>
      <c r="F106" s="38"/>
      <c r="G106" s="74">
        <f t="shared" si="1"/>
        <v>0</v>
      </c>
      <c r="H106" s="99">
        <f>IFERROR(G106/('SETTING PRODUKSI Januari'!E109/'SETTING PRODUKSI Januari'!$E$8),0)</f>
        <v>0</v>
      </c>
    </row>
    <row r="107" spans="2:8" x14ac:dyDescent="0.25">
      <c r="B107" s="38" t="s">
        <v>106</v>
      </c>
      <c r="C107" s="38" t="s">
        <v>111</v>
      </c>
      <c r="D107" s="38" t="s">
        <v>112</v>
      </c>
      <c r="E107" s="99">
        <f>SUMIF('SETTING PRODUKSI Januari'!C:C,'STOK AKHIR DAN ESKES LVL STOK'!C107,'SETTING PRODUKSI Januari'!P:P)</f>
        <v>0</v>
      </c>
      <c r="F107" s="38"/>
      <c r="G107" s="74">
        <f t="shared" si="1"/>
        <v>0</v>
      </c>
      <c r="H107" s="99">
        <f>IFERROR(G107/('SETTING PRODUKSI Januari'!E110/'SETTING PRODUKSI Januari'!$E$8),0)</f>
        <v>0</v>
      </c>
    </row>
    <row r="108" spans="2:8" x14ac:dyDescent="0.25">
      <c r="B108" s="38" t="s">
        <v>125</v>
      </c>
      <c r="C108" s="38" t="s">
        <v>272</v>
      </c>
      <c r="D108" s="38" t="s">
        <v>273</v>
      </c>
      <c r="E108" s="99">
        <f>SUMIF('SETTING PRODUKSI Januari'!C:C,'STOK AKHIR DAN ESKES LVL STOK'!C108,'SETTING PRODUKSI Januari'!P:P)</f>
        <v>52.520120000000006</v>
      </c>
      <c r="F108" s="38"/>
      <c r="G108" s="74">
        <f t="shared" si="1"/>
        <v>52.520120000000006</v>
      </c>
      <c r="H108" s="99">
        <f>IFERROR(G108/('SETTING PRODUKSI Januari'!E111/'SETTING PRODUKSI Januari'!$E$8),0)</f>
        <v>6509.9309687261648</v>
      </c>
    </row>
    <row r="109" spans="2:8" x14ac:dyDescent="0.25">
      <c r="B109" s="38" t="s">
        <v>125</v>
      </c>
      <c r="C109" s="38" t="s">
        <v>274</v>
      </c>
      <c r="D109" s="38" t="s">
        <v>275</v>
      </c>
      <c r="E109" s="99">
        <f>SUMIF('SETTING PRODUKSI Januari'!C:C,'STOK AKHIR DAN ESKES LVL STOK'!C109,'SETTING PRODUKSI Januari'!P:P)</f>
        <v>0.12680769230769229</v>
      </c>
      <c r="F109" s="38"/>
      <c r="G109" s="74">
        <f t="shared" si="1"/>
        <v>0.12680769230769229</v>
      </c>
      <c r="H109" s="99">
        <f>IFERROR(G109/('SETTING PRODUKSI Januari'!E112/'SETTING PRODUKSI Januari'!$E$8),0)</f>
        <v>4.2652005174644236E-2</v>
      </c>
    </row>
    <row r="110" spans="2:8" x14ac:dyDescent="0.25">
      <c r="B110" s="38" t="s">
        <v>125</v>
      </c>
      <c r="C110" s="38" t="s">
        <v>276</v>
      </c>
      <c r="D110" s="38" t="s">
        <v>277</v>
      </c>
      <c r="E110" s="99">
        <f>SUMIF('SETTING PRODUKSI Januari'!C:C,'STOK AKHIR DAN ESKES LVL STOK'!C110,'SETTING PRODUKSI Januari'!P:P)</f>
        <v>0</v>
      </c>
      <c r="F110" s="38"/>
      <c r="G110" s="74">
        <f t="shared" si="1"/>
        <v>0</v>
      </c>
      <c r="H110" s="99">
        <f>IFERROR(G110/('SETTING PRODUKSI Januari'!E113/'SETTING PRODUKSI Januari'!$E$8),0)</f>
        <v>0</v>
      </c>
    </row>
    <row r="111" spans="2:8" x14ac:dyDescent="0.25">
      <c r="B111" s="38" t="s">
        <v>106</v>
      </c>
      <c r="C111" s="38" t="s">
        <v>105</v>
      </c>
      <c r="D111" s="38" t="s">
        <v>106</v>
      </c>
      <c r="E111" s="99">
        <f>SUMIF('SETTING PRODUKSI Januari'!C:C,'STOK AKHIR DAN ESKES LVL STOK'!C111,'SETTING PRODUKSI Januari'!P:P)</f>
        <v>13.056781000000001</v>
      </c>
      <c r="F111" s="38"/>
      <c r="G111" s="74">
        <f t="shared" si="1"/>
        <v>13.056781000000001</v>
      </c>
      <c r="H111" s="99">
        <f>IFERROR(G111/('SETTING PRODUKSI Januari'!E114/'SETTING PRODUKSI Januari'!$E$8),0)</f>
        <v>11.706079517241379</v>
      </c>
    </row>
    <row r="112" spans="2:8" x14ac:dyDescent="0.25">
      <c r="B112" s="38" t="s">
        <v>106</v>
      </c>
      <c r="C112" s="38" t="s">
        <v>278</v>
      </c>
      <c r="D112" s="38" t="s">
        <v>279</v>
      </c>
      <c r="E112" s="99">
        <f>SUMIF('SETTING PRODUKSI Januari'!C:C,'STOK AKHIR DAN ESKES LVL STOK'!C112,'SETTING PRODUKSI Januari'!P:P)</f>
        <v>0</v>
      </c>
      <c r="F112" s="38"/>
      <c r="G112" s="74">
        <f t="shared" si="1"/>
        <v>0</v>
      </c>
      <c r="H112" s="99">
        <f>IFERROR(G112/('SETTING PRODUKSI Januari'!E115/'SETTING PRODUKSI Januari'!$E$8),0)</f>
        <v>0</v>
      </c>
    </row>
    <row r="113" spans="2:8" x14ac:dyDescent="0.25">
      <c r="B113" s="38" t="s">
        <v>106</v>
      </c>
      <c r="C113" s="38" t="s">
        <v>115</v>
      </c>
      <c r="D113" s="38" t="s">
        <v>116</v>
      </c>
      <c r="E113" s="99">
        <f>SUMIF('SETTING PRODUKSI Januari'!C:C,'STOK AKHIR DAN ESKES LVL STOK'!C113,'SETTING PRODUKSI Januari'!P:P)</f>
        <v>15.49127</v>
      </c>
      <c r="F113" s="38"/>
      <c r="G113" s="74">
        <f t="shared" si="1"/>
        <v>15.49127</v>
      </c>
      <c r="H113" s="99">
        <f>IFERROR(G113/('SETTING PRODUKSI Januari'!E116/'SETTING PRODUKSI Januari'!$E$8),0)</f>
        <v>13.192514875327625</v>
      </c>
    </row>
    <row r="114" spans="2:8" x14ac:dyDescent="0.25">
      <c r="B114" s="38" t="s">
        <v>106</v>
      </c>
      <c r="C114" s="38" t="s">
        <v>107</v>
      </c>
      <c r="D114" s="38" t="s">
        <v>108</v>
      </c>
      <c r="E114" s="99">
        <f>SUMIF('SETTING PRODUKSI Januari'!C:C,'STOK AKHIR DAN ESKES LVL STOK'!C114,'SETTING PRODUKSI Januari'!P:P)</f>
        <v>0.19290384615384615</v>
      </c>
      <c r="F114" s="38"/>
      <c r="G114" s="74">
        <f t="shared" si="1"/>
        <v>0.19290384615384615</v>
      </c>
      <c r="H114" s="99">
        <f>IFERROR(G114/('SETTING PRODUKSI Januari'!E117/'SETTING PRODUKSI Januari'!$E$8),0)</f>
        <v>0.11941666666666666</v>
      </c>
    </row>
    <row r="115" spans="2:8" x14ac:dyDescent="0.25">
      <c r="B115" s="38" t="s">
        <v>106</v>
      </c>
      <c r="C115" s="38" t="s">
        <v>280</v>
      </c>
      <c r="D115" s="38" t="s">
        <v>281</v>
      </c>
      <c r="E115" s="99">
        <f>SUMIF('SETTING PRODUKSI Januari'!C:C,'STOK AKHIR DAN ESKES LVL STOK'!C115,'SETTING PRODUKSI Januari'!P:P)</f>
        <v>0</v>
      </c>
      <c r="F115" s="38"/>
      <c r="G115" s="74">
        <f t="shared" si="1"/>
        <v>0</v>
      </c>
      <c r="H115" s="99">
        <f>IFERROR(G115/('SETTING PRODUKSI Januari'!E118/'SETTING PRODUKSI Januari'!$E$8),0)</f>
        <v>0</v>
      </c>
    </row>
    <row r="116" spans="2:8" x14ac:dyDescent="0.25">
      <c r="B116" s="38" t="s">
        <v>125</v>
      </c>
      <c r="C116" s="38" t="s">
        <v>282</v>
      </c>
      <c r="D116" s="38" t="s">
        <v>125</v>
      </c>
      <c r="E116" s="99">
        <f>SUMIF('SETTING PRODUKSI Januari'!C:C,'STOK AKHIR DAN ESKES LVL STOK'!C116,'SETTING PRODUKSI Januari'!P:P)</f>
        <v>1.7763846153846146</v>
      </c>
      <c r="F116" s="38"/>
      <c r="G116" s="74">
        <f t="shared" si="1"/>
        <v>1.7763846153846146</v>
      </c>
      <c r="H116" s="99">
        <f>IFERROR(G116/('SETTING PRODUKSI Januari'!E119/'SETTING PRODUKSI Januari'!$E$8),0)</f>
        <v>1.399575757575757</v>
      </c>
    </row>
    <row r="117" spans="2:8" x14ac:dyDescent="0.25">
      <c r="B117" s="38" t="s">
        <v>125</v>
      </c>
      <c r="C117" s="38" t="s">
        <v>283</v>
      </c>
      <c r="D117" s="38" t="s">
        <v>284</v>
      </c>
      <c r="E117" s="99">
        <f>SUMIF('SETTING PRODUKSI Januari'!C:C,'STOK AKHIR DAN ESKES LVL STOK'!C117,'SETTING PRODUKSI Januari'!P:P)</f>
        <v>0</v>
      </c>
      <c r="F117" s="38"/>
      <c r="G117" s="74">
        <f t="shared" si="1"/>
        <v>0</v>
      </c>
      <c r="H117" s="99">
        <f>IFERROR(G117/('SETTING PRODUKSI Januari'!E120/'SETTING PRODUKSI Januari'!$E$8),0)</f>
        <v>0</v>
      </c>
    </row>
    <row r="118" spans="2:8" x14ac:dyDescent="0.25">
      <c r="B118" s="38" t="s">
        <v>106</v>
      </c>
      <c r="C118" s="38" t="s">
        <v>109</v>
      </c>
      <c r="D118" s="38" t="s">
        <v>110</v>
      </c>
      <c r="E118" s="99">
        <f>SUMIF('SETTING PRODUKSI Januari'!C:C,'STOK AKHIR DAN ESKES LVL STOK'!C118,'SETTING PRODUKSI Januari'!P:P)</f>
        <v>0.48550000000000004</v>
      </c>
      <c r="F118" s="38"/>
      <c r="G118" s="74">
        <f t="shared" si="1"/>
        <v>0.48550000000000004</v>
      </c>
      <c r="H118" s="99">
        <f>IFERROR(G118/('SETTING PRODUKSI Januari'!E121/'SETTING PRODUKSI Januari'!$E$8),0)</f>
        <v>0</v>
      </c>
    </row>
    <row r="119" spans="2:8" x14ac:dyDescent="0.25">
      <c r="B119" s="38" t="s">
        <v>329</v>
      </c>
      <c r="C119" s="38" t="s">
        <v>285</v>
      </c>
      <c r="D119" s="38" t="s">
        <v>286</v>
      </c>
      <c r="E119" s="99">
        <f>SUMIF('SETTING PRODUKSI Januari'!C:C,'STOK AKHIR DAN ESKES LVL STOK'!C119,'SETTING PRODUKSI Januari'!P:P)</f>
        <v>1.4763269230769227</v>
      </c>
      <c r="F119" s="99">
        <f>SUM('SETTING PRODUKSI Januari'!S:S)</f>
        <v>2.1486807311079796</v>
      </c>
      <c r="G119" s="74">
        <f t="shared" si="1"/>
        <v>3.6250076541849023</v>
      </c>
      <c r="H119" s="99">
        <f>IFERROR(G119/('SETTING PRODUKSI Januari'!E122/'SETTING PRODUKSI Januari'!$E$8),0)</f>
        <v>0</v>
      </c>
    </row>
    <row r="120" spans="2:8" x14ac:dyDescent="0.25">
      <c r="B120" s="38" t="s">
        <v>329</v>
      </c>
      <c r="C120" s="38" t="s">
        <v>287</v>
      </c>
      <c r="D120" s="38" t="s">
        <v>288</v>
      </c>
      <c r="E120" s="99">
        <f>SUMIF('SETTING PRODUKSI Januari'!C:C,'STOK AKHIR DAN ESKES LVL STOK'!C120,'SETTING PRODUKSI Januari'!P:P)</f>
        <v>1.4516384615384617</v>
      </c>
      <c r="F120" s="38"/>
      <c r="G120" s="74">
        <f t="shared" si="1"/>
        <v>1.4516384615384617</v>
      </c>
      <c r="H120" s="99">
        <f>IFERROR(G120/('SETTING PRODUKSI Januari'!E123/'SETTING PRODUKSI Januari'!$E$8),0)</f>
        <v>0</v>
      </c>
    </row>
    <row r="121" spans="2:8" x14ac:dyDescent="0.25">
      <c r="B121" s="38" t="s">
        <v>290</v>
      </c>
      <c r="C121" s="38" t="s">
        <v>289</v>
      </c>
      <c r="D121" s="38" t="s">
        <v>290</v>
      </c>
      <c r="E121" s="99">
        <f>SUMIF('SETTING PRODUKSI Januari'!C:C,'STOK AKHIR DAN ESKES LVL STOK'!C121,'SETTING PRODUKSI Januari'!P:P)</f>
        <v>1.5524180000000003</v>
      </c>
      <c r="F121" s="38"/>
      <c r="G121" s="74">
        <f t="shared" si="1"/>
        <v>1.5524180000000003</v>
      </c>
      <c r="H121" s="99">
        <f>IFERROR(G121/('SETTING PRODUKSI Januari'!E124/'SETTING PRODUKSI Januari'!$E$8),0)</f>
        <v>0</v>
      </c>
    </row>
    <row r="122" spans="2:8" x14ac:dyDescent="0.25">
      <c r="B122" s="38" t="s">
        <v>106</v>
      </c>
      <c r="C122" s="38" t="s">
        <v>113</v>
      </c>
      <c r="D122" s="38" t="s">
        <v>114</v>
      </c>
      <c r="E122" s="99">
        <f>SUMIF('SETTING PRODUKSI Januari'!C:C,'STOK AKHIR DAN ESKES LVL STOK'!C122,'SETTING PRODUKSI Januari'!P:P)</f>
        <v>0</v>
      </c>
      <c r="F122" s="38"/>
      <c r="G122" s="74">
        <f t="shared" si="1"/>
        <v>0</v>
      </c>
      <c r="H122" s="99">
        <f>IFERROR(G122/('SETTING PRODUKSI Januari'!E125/'SETTING PRODUKSI Januari'!$E$8),0)</f>
        <v>0</v>
      </c>
    </row>
    <row r="123" spans="2:8" x14ac:dyDescent="0.25">
      <c r="B123" s="38" t="s">
        <v>129</v>
      </c>
      <c r="C123" s="38" t="s">
        <v>291</v>
      </c>
      <c r="D123" s="38" t="s">
        <v>292</v>
      </c>
      <c r="E123" s="99">
        <f>SUMIF('SETTING PRODUKSI Januari'!C:C,'STOK AKHIR DAN ESKES LVL STOK'!C123,'SETTING PRODUKSI Januari'!P:P)</f>
        <v>5.3846153846153844E-4</v>
      </c>
      <c r="F123" s="38"/>
      <c r="G123" s="74">
        <f t="shared" si="1"/>
        <v>5.3846153846153844E-4</v>
      </c>
      <c r="H123" s="99">
        <f>IFERROR(G123/('SETTING PRODUKSI Januari'!E126/'SETTING PRODUKSI Januari'!$E$8),0)</f>
        <v>0</v>
      </c>
    </row>
    <row r="124" spans="2:8" x14ac:dyDescent="0.25">
      <c r="B124" s="38" t="s">
        <v>125</v>
      </c>
      <c r="C124" s="38" t="s">
        <v>293</v>
      </c>
      <c r="D124" s="38" t="s">
        <v>294</v>
      </c>
      <c r="E124" s="99">
        <f>SUMIF('SETTING PRODUKSI Januari'!C:C,'STOK AKHIR DAN ESKES LVL STOK'!C124,'SETTING PRODUKSI Januari'!P:P)</f>
        <v>0</v>
      </c>
      <c r="F124" s="38"/>
      <c r="G124" s="74">
        <f t="shared" si="1"/>
        <v>0</v>
      </c>
      <c r="H124" s="99">
        <f>IFERROR(G124/('SETTING PRODUKSI Januari'!E127/'SETTING PRODUKSI Januari'!$E$8),0)</f>
        <v>0</v>
      </c>
    </row>
    <row r="125" spans="2:8" x14ac:dyDescent="0.25">
      <c r="B125" s="38" t="s">
        <v>129</v>
      </c>
      <c r="C125" s="38" t="s">
        <v>295</v>
      </c>
      <c r="D125" s="38" t="s">
        <v>296</v>
      </c>
      <c r="E125" s="99">
        <f>SUMIF('SETTING PRODUKSI Januari'!C:C,'STOK AKHIR DAN ESKES LVL STOK'!C125,'SETTING PRODUKSI Januari'!P:P)</f>
        <v>0.10184769230769231</v>
      </c>
      <c r="F125" s="38"/>
      <c r="G125" s="74">
        <f t="shared" si="1"/>
        <v>0.10184769230769231</v>
      </c>
      <c r="H125" s="99">
        <f>IFERROR(G125/('SETTING PRODUKSI Januari'!E128/'SETTING PRODUKSI Januari'!$E$8),0)</f>
        <v>0</v>
      </c>
    </row>
    <row r="126" spans="2:8" x14ac:dyDescent="0.25">
      <c r="B126" s="38" t="s">
        <v>129</v>
      </c>
      <c r="C126" s="38" t="s">
        <v>302</v>
      </c>
      <c r="D126" s="38" t="s">
        <v>303</v>
      </c>
      <c r="E126" s="99">
        <f>SUMIF('SETTING PRODUKSI Januari'!C:C,'STOK AKHIR DAN ESKES LVL STOK'!C126,'SETTING PRODUKSI Januari'!P:P)</f>
        <v>0</v>
      </c>
      <c r="F126" s="38"/>
      <c r="G126" s="74">
        <f t="shared" si="1"/>
        <v>0</v>
      </c>
      <c r="H126" s="99">
        <f>IFERROR(G126/('SETTING PRODUKSI Januari'!E129/'SETTING PRODUKSI Januari'!$E$8),0)</f>
        <v>0</v>
      </c>
    </row>
    <row r="127" spans="2:8" x14ac:dyDescent="0.25">
      <c r="B127" s="38" t="s">
        <v>129</v>
      </c>
      <c r="C127" s="38" t="s">
        <v>304</v>
      </c>
      <c r="D127" s="38" t="s">
        <v>305</v>
      </c>
      <c r="E127" s="99">
        <f>SUMIF('SETTING PRODUKSI Januari'!C:C,'STOK AKHIR DAN ESKES LVL STOK'!C127,'SETTING PRODUKSI Januari'!P:P)</f>
        <v>0</v>
      </c>
      <c r="F127" s="38"/>
      <c r="G127" s="74">
        <f t="shared" si="1"/>
        <v>0</v>
      </c>
      <c r="H127" s="99">
        <f>IFERROR(G127/('SETTING PRODUKSI Januari'!E130/'SETTING PRODUKSI Januari'!$E$8),0)</f>
        <v>0</v>
      </c>
    </row>
    <row r="128" spans="2:8" x14ac:dyDescent="0.25">
      <c r="B128" s="38" t="s">
        <v>129</v>
      </c>
      <c r="C128" s="38" t="s">
        <v>306</v>
      </c>
      <c r="D128" s="38" t="s">
        <v>307</v>
      </c>
      <c r="E128" s="99">
        <f>SUMIF('SETTING PRODUKSI Januari'!C:C,'STOK AKHIR DAN ESKES LVL STOK'!C128,'SETTING PRODUKSI Januari'!P:P)</f>
        <v>0.11926615384615369</v>
      </c>
      <c r="F128" s="38"/>
      <c r="G128" s="74">
        <f t="shared" si="1"/>
        <v>0.11926615384615369</v>
      </c>
      <c r="H128" s="99">
        <f>IFERROR(G128/('SETTING PRODUKSI Januari'!E131/'SETTING PRODUKSI Januari'!$E$8),0)</f>
        <v>0</v>
      </c>
    </row>
    <row r="129" spans="2:8" x14ac:dyDescent="0.25">
      <c r="B129" s="38" t="s">
        <v>318</v>
      </c>
      <c r="C129" s="38" t="s">
        <v>317</v>
      </c>
      <c r="D129" s="38" t="s">
        <v>318</v>
      </c>
      <c r="E129" s="99">
        <f>SUMIF('SETTING PRODUKSI Januari'!C:C,'STOK AKHIR DAN ESKES LVL STOK'!C129,'SETTING PRODUKSI Januari'!P:P)</f>
        <v>0</v>
      </c>
      <c r="F129" s="38"/>
      <c r="G129" s="74">
        <f t="shared" si="1"/>
        <v>0</v>
      </c>
      <c r="H129" s="99">
        <f>IFERROR(G129/('SETTING PRODUKSI Januari'!E132/'SETTING PRODUKSI Januari'!$E$8),0)</f>
        <v>0</v>
      </c>
    </row>
    <row r="130" spans="2:8" x14ac:dyDescent="0.25">
      <c r="B130" s="38" t="s">
        <v>318</v>
      </c>
      <c r="C130" s="38" t="s">
        <v>319</v>
      </c>
      <c r="D130" s="38" t="s">
        <v>320</v>
      </c>
      <c r="E130" s="99">
        <f>SUMIF('SETTING PRODUKSI Januari'!C:C,'STOK AKHIR DAN ESKES LVL STOK'!C130,'SETTING PRODUKSI Januari'!P:P)</f>
        <v>0</v>
      </c>
      <c r="F130" s="38"/>
      <c r="G130" s="74">
        <f t="shared" si="1"/>
        <v>0</v>
      </c>
      <c r="H130" s="99">
        <f>IFERROR(G130/('SETTING PRODUKSI Januari'!E133/'SETTING PRODUKSI Januari'!$E$8),0)</f>
        <v>0</v>
      </c>
    </row>
    <row r="131" spans="2:8" x14ac:dyDescent="0.25">
      <c r="B131" s="38" t="s">
        <v>323</v>
      </c>
      <c r="C131" s="38" t="s">
        <v>322</v>
      </c>
      <c r="D131" s="38" t="s">
        <v>323</v>
      </c>
      <c r="E131" s="99">
        <f>SUMIF('SETTING PRODUKSI Januari'!C:C,'STOK AKHIR DAN ESKES LVL STOK'!C131,'SETTING PRODUKSI Januari'!P:P)</f>
        <v>0</v>
      </c>
      <c r="F131" s="38"/>
      <c r="G131" s="74">
        <f t="shared" si="1"/>
        <v>0</v>
      </c>
      <c r="H131" s="99">
        <f>IFERROR(G131/('SETTING PRODUKSI Januari'!E134/'SETTING PRODUKSI Januari'!$E$8),0)</f>
        <v>0</v>
      </c>
    </row>
    <row r="132" spans="2:8" x14ac:dyDescent="0.25">
      <c r="B132" s="38" t="s">
        <v>325</v>
      </c>
      <c r="C132" s="38" t="s">
        <v>324</v>
      </c>
      <c r="D132" s="38" t="s">
        <v>325</v>
      </c>
      <c r="E132" s="99">
        <f>SUMIF('SETTING PRODUKSI Januari'!C:C,'STOK AKHIR DAN ESKES LVL STOK'!C132,'SETTING PRODUKSI Januari'!P:P)</f>
        <v>0</v>
      </c>
      <c r="F132" s="38"/>
      <c r="G132" s="74">
        <f t="shared" si="1"/>
        <v>0</v>
      </c>
      <c r="H132" s="99">
        <f>IFERROR(G132/('SETTING PRODUKSI Januari'!E135/'SETTING PRODUKSI Januari'!$E$8),0)</f>
        <v>0</v>
      </c>
    </row>
    <row r="133" spans="2:8" x14ac:dyDescent="0.25">
      <c r="B133" s="38" t="s">
        <v>318</v>
      </c>
      <c r="C133" s="38" t="s">
        <v>326</v>
      </c>
      <c r="D133" s="38" t="s">
        <v>327</v>
      </c>
      <c r="E133" s="99">
        <f>SUMIF('SETTING PRODUKSI Januari'!C:C,'STOK AKHIR DAN ESKES LVL STOK'!C133,'SETTING PRODUKSI Januari'!P:P)</f>
        <v>0</v>
      </c>
      <c r="F133" s="38"/>
      <c r="G133" s="74">
        <f t="shared" si="1"/>
        <v>0</v>
      </c>
      <c r="H133" s="99">
        <f>IFERROR(G133/('SETTING PRODUKSI Januari'!E136/'SETTING PRODUKSI Januari'!$E$8),0)</f>
        <v>0</v>
      </c>
    </row>
    <row r="134" spans="2:8" x14ac:dyDescent="0.25">
      <c r="B134" s="38"/>
      <c r="C134" s="38"/>
      <c r="D134" s="38"/>
      <c r="E134" s="99">
        <f>SUMIF('SETTING PRODUKSI Januari'!C:C,'STOK AKHIR DAN ESKES LVL STOK'!C134,'SETTING PRODUKSI Januari'!P:P)</f>
        <v>0</v>
      </c>
      <c r="F134" s="38"/>
      <c r="G134" s="74">
        <f t="shared" si="1"/>
        <v>0</v>
      </c>
      <c r="H134" s="99">
        <f>IFERROR(G134/('SETTING PRODUKSI Januari'!E137/'SETTING PRODUKSI Januari'!$E$8),0)</f>
        <v>0</v>
      </c>
    </row>
    <row r="135" spans="2:8" x14ac:dyDescent="0.25">
      <c r="B135" s="38"/>
      <c r="C135" s="38"/>
      <c r="D135" s="38"/>
      <c r="E135" s="99">
        <f>SUMIF('SETTING PRODUKSI Januari'!C:C,'STOK AKHIR DAN ESKES LVL STOK'!C135,'SETTING PRODUKSI Januari'!P:P)</f>
        <v>0</v>
      </c>
      <c r="F135" s="38"/>
      <c r="G135" s="74">
        <f t="shared" si="1"/>
        <v>0</v>
      </c>
      <c r="H135" s="99">
        <f>IFERROR(G135/('SETTING PRODUKSI Januari'!E138/'SETTING PRODUKSI Januari'!$E$8),0)</f>
        <v>0</v>
      </c>
    </row>
    <row r="136" spans="2:8" x14ac:dyDescent="0.25">
      <c r="B136" s="38"/>
      <c r="C136" s="38"/>
      <c r="D136" s="38"/>
      <c r="E136" s="99">
        <f>SUMIF('SETTING PRODUKSI Januari'!C:C,'STOK AKHIR DAN ESKES LVL STOK'!C136,'SETTING PRODUKSI Januari'!P:P)</f>
        <v>0</v>
      </c>
      <c r="F136" s="38"/>
      <c r="G136" s="74">
        <f t="shared" ref="G136:G152" si="2">E136+F136</f>
        <v>0</v>
      </c>
      <c r="H136" s="99">
        <f>IFERROR(G136/('SETTING PRODUKSI Januari'!E139/'SETTING PRODUKSI Januari'!$E$8),0)</f>
        <v>0</v>
      </c>
    </row>
    <row r="137" spans="2:8" x14ac:dyDescent="0.25">
      <c r="B137" s="81"/>
      <c r="C137" s="81"/>
      <c r="D137" s="58" t="s">
        <v>122</v>
      </c>
      <c r="E137" s="99">
        <f>SUM(E106:E136)</f>
        <v>88.351802846153859</v>
      </c>
      <c r="F137" s="99">
        <f>SUM(F106:F136)</f>
        <v>2.1486807311079796</v>
      </c>
      <c r="G137" s="74">
        <f t="shared" si="2"/>
        <v>90.500483577261832</v>
      </c>
      <c r="H137" s="99">
        <f>IFERROR(G137/('SETTING PRODUKSI Januari'!E140/'SETTING PRODUKSI Januari'!$E$8),0)</f>
        <v>6536.1460361355776</v>
      </c>
    </row>
    <row r="138" spans="2:8" x14ac:dyDescent="0.25">
      <c r="B138" s="52"/>
      <c r="C138" s="52" t="s">
        <v>130</v>
      </c>
      <c r="D138" s="53"/>
      <c r="E138" s="99">
        <f>SUMIF('SETTING PRODUKSI Januari'!C:C,'STOK AKHIR DAN ESKES LVL STOK'!C138,'SETTING PRODUKSI Januari'!P:P)</f>
        <v>0</v>
      </c>
      <c r="F138" s="38"/>
      <c r="G138" s="74">
        <f t="shared" si="2"/>
        <v>0</v>
      </c>
      <c r="H138" s="99">
        <f>IFERROR(G138/('SETTING PRODUKSI Januari'!E141/'SETTING PRODUKSI Januari'!$E$8),0)</f>
        <v>0</v>
      </c>
    </row>
    <row r="139" spans="2:8" x14ac:dyDescent="0.25">
      <c r="B139" s="38" t="s">
        <v>131</v>
      </c>
      <c r="C139" s="38" t="s">
        <v>328</v>
      </c>
      <c r="D139" s="38" t="s">
        <v>131</v>
      </c>
      <c r="E139" s="99">
        <f>SUMIF('SETTING PRODUKSI Januari'!C:C,'STOK AKHIR DAN ESKES LVL STOK'!C139,'SETTING PRODUKSI Januari'!P:P)</f>
        <v>0.33353307692307643</v>
      </c>
      <c r="F139" s="38"/>
      <c r="G139" s="74">
        <f t="shared" si="2"/>
        <v>0.33353307692307643</v>
      </c>
      <c r="H139" s="99">
        <f>IFERROR(G139/('SETTING PRODUKSI Januari'!E142/'SETTING PRODUKSI Januari'!$E$8),0)</f>
        <v>173.43719999999973</v>
      </c>
    </row>
    <row r="140" spans="2:8" x14ac:dyDescent="0.25">
      <c r="B140" s="38" t="s">
        <v>342</v>
      </c>
      <c r="C140" s="38" t="s">
        <v>311</v>
      </c>
      <c r="D140" s="38" t="s">
        <v>312</v>
      </c>
      <c r="E140" s="99">
        <f>SUMIF('SETTING PRODUKSI Januari'!C:C,'STOK AKHIR DAN ESKES LVL STOK'!C140,'SETTING PRODUKSI Januari'!P:P)</f>
        <v>0</v>
      </c>
      <c r="F140" s="38"/>
      <c r="G140" s="74">
        <f t="shared" si="2"/>
        <v>0</v>
      </c>
      <c r="H140" s="99">
        <f>IFERROR(G140/('SETTING PRODUKSI Januari'!E143/'SETTING PRODUKSI Januari'!$E$8),0)</f>
        <v>0</v>
      </c>
    </row>
    <row r="141" spans="2:8" x14ac:dyDescent="0.25">
      <c r="B141" s="38" t="s">
        <v>342</v>
      </c>
      <c r="C141" s="38" t="s">
        <v>313</v>
      </c>
      <c r="D141" s="38" t="s">
        <v>314</v>
      </c>
      <c r="E141" s="99">
        <f>SUMIF('SETTING PRODUKSI Januari'!C:C,'STOK AKHIR DAN ESKES LVL STOK'!C141,'SETTING PRODUKSI Januari'!P:P)</f>
        <v>0</v>
      </c>
      <c r="F141" s="38"/>
      <c r="G141" s="74">
        <f t="shared" si="2"/>
        <v>0</v>
      </c>
      <c r="H141" s="99">
        <f>IFERROR(G141/('SETTING PRODUKSI Januari'!E144/'SETTING PRODUKSI Januari'!$E$8),0)</f>
        <v>0</v>
      </c>
    </row>
    <row r="142" spans="2:8" x14ac:dyDescent="0.25">
      <c r="B142" s="38" t="s">
        <v>342</v>
      </c>
      <c r="C142" s="38" t="s">
        <v>315</v>
      </c>
      <c r="D142" s="38" t="s">
        <v>316</v>
      </c>
      <c r="E142" s="99">
        <f>SUMIF('SETTING PRODUKSI Januari'!C:C,'STOK AKHIR DAN ESKES LVL STOK'!C142,'SETTING PRODUKSI Januari'!P:P)</f>
        <v>0</v>
      </c>
      <c r="F142" s="38"/>
      <c r="G142" s="74">
        <f t="shared" si="2"/>
        <v>0</v>
      </c>
      <c r="H142" s="99">
        <f>IFERROR(G142/('SETTING PRODUKSI Januari'!E145/'SETTING PRODUKSI Januari'!$E$8),0)</f>
        <v>0</v>
      </c>
    </row>
    <row r="143" spans="2:8" x14ac:dyDescent="0.25">
      <c r="B143" s="38" t="s">
        <v>342</v>
      </c>
      <c r="C143" s="38" t="s">
        <v>297</v>
      </c>
      <c r="D143" s="38" t="s">
        <v>308</v>
      </c>
      <c r="E143" s="99">
        <f>SUMIF('SETTING PRODUKSI Januari'!C:C,'STOK AKHIR DAN ESKES LVL STOK'!C143,'SETTING PRODUKSI Januari'!P:P)</f>
        <v>0.4409123076923076</v>
      </c>
      <c r="F143" s="38"/>
      <c r="G143" s="74">
        <f t="shared" si="2"/>
        <v>0.4409123076923076</v>
      </c>
      <c r="H143" s="99">
        <f>IFERROR(G143/('SETTING PRODUKSI Januari'!E146/'SETTING PRODUKSI Januari'!$E$8),0)</f>
        <v>0.88784014211985063</v>
      </c>
    </row>
    <row r="144" spans="2:8" x14ac:dyDescent="0.25">
      <c r="B144" s="38" t="s">
        <v>342</v>
      </c>
      <c r="C144" s="38" t="s">
        <v>299</v>
      </c>
      <c r="D144" s="38" t="s">
        <v>300</v>
      </c>
      <c r="E144" s="99">
        <f>SUMIF('SETTING PRODUKSI Januari'!C:C,'STOK AKHIR DAN ESKES LVL STOK'!C144,'SETTING PRODUKSI Januari'!P:P)</f>
        <v>0.59970923076923111</v>
      </c>
      <c r="F144" s="38"/>
      <c r="G144" s="74">
        <f t="shared" si="2"/>
        <v>0.59970923076923111</v>
      </c>
      <c r="H144" s="99">
        <f>IFERROR(G144/('SETTING PRODUKSI Januari'!E147/'SETTING PRODUKSI Januari'!$E$8),0)</f>
        <v>60.936532749726474</v>
      </c>
    </row>
    <row r="145" spans="2:8" x14ac:dyDescent="0.25">
      <c r="B145" s="38" t="s">
        <v>342</v>
      </c>
      <c r="C145" s="38" t="s">
        <v>301</v>
      </c>
      <c r="D145" s="38" t="s">
        <v>132</v>
      </c>
      <c r="E145" s="99">
        <f>SUMIF('SETTING PRODUKSI Januari'!C:C,'STOK AKHIR DAN ESKES LVL STOK'!C145,'SETTING PRODUKSI Januari'!P:P)</f>
        <v>0.29481000000000002</v>
      </c>
      <c r="F145" s="38"/>
      <c r="G145" s="74">
        <f t="shared" si="2"/>
        <v>0.29481000000000002</v>
      </c>
      <c r="H145" s="99">
        <f>IFERROR(G145/('SETTING PRODUKSI Januari'!E148/'SETTING PRODUKSI Januari'!$E$8),0)</f>
        <v>10.697920446615493</v>
      </c>
    </row>
    <row r="146" spans="2:8" x14ac:dyDescent="0.25">
      <c r="B146" s="38" t="s">
        <v>343</v>
      </c>
      <c r="C146" s="38" t="s">
        <v>309</v>
      </c>
      <c r="D146" s="38" t="s">
        <v>310</v>
      </c>
      <c r="E146" s="99">
        <f>SUMIF('SETTING PRODUKSI Januari'!C:C,'STOK AKHIR DAN ESKES LVL STOK'!C146,'SETTING PRODUKSI Januari'!P:P)</f>
        <v>0</v>
      </c>
      <c r="F146" s="38"/>
      <c r="G146" s="74">
        <f t="shared" si="2"/>
        <v>0</v>
      </c>
      <c r="H146" s="99">
        <f>IFERROR(G146/('SETTING PRODUKSI Januari'!E149/'SETTING PRODUKSI Januari'!$E$8),0)</f>
        <v>0</v>
      </c>
    </row>
    <row r="147" spans="2:8" x14ac:dyDescent="0.25">
      <c r="B147" s="38"/>
      <c r="C147" s="38"/>
      <c r="D147" s="38"/>
      <c r="E147" s="99">
        <f>SUMIF('SETTING PRODUKSI Januari'!C:C,'STOK AKHIR DAN ESKES LVL STOK'!C147,'SETTING PRODUKSI Januari'!P:P)</f>
        <v>0</v>
      </c>
      <c r="F147" s="38"/>
      <c r="G147" s="74">
        <f t="shared" si="2"/>
        <v>0</v>
      </c>
      <c r="H147" s="99">
        <f>IFERROR(G147/('SETTING PRODUKSI Januari'!E150/'SETTING PRODUKSI Januari'!$E$8),0)</f>
        <v>0</v>
      </c>
    </row>
    <row r="148" spans="2:8" x14ac:dyDescent="0.25">
      <c r="B148" s="38"/>
      <c r="C148" s="38"/>
      <c r="D148" s="38"/>
      <c r="E148" s="99">
        <f>SUMIF('SETTING PRODUKSI Januari'!C:C,'STOK AKHIR DAN ESKES LVL STOK'!C148,'SETTING PRODUKSI Januari'!P:P)</f>
        <v>0</v>
      </c>
      <c r="F148" s="38"/>
      <c r="G148" s="74">
        <f t="shared" si="2"/>
        <v>0</v>
      </c>
      <c r="H148" s="99">
        <f>IFERROR(G148/('SETTING PRODUKSI Januari'!E151/'SETTING PRODUKSI Januari'!$E$8),0)</f>
        <v>0</v>
      </c>
    </row>
    <row r="149" spans="2:8" x14ac:dyDescent="0.25">
      <c r="B149" s="38"/>
      <c r="C149" s="38"/>
      <c r="D149" s="38"/>
      <c r="E149" s="99">
        <f>SUMIF('SETTING PRODUKSI Januari'!C:C,'STOK AKHIR DAN ESKES LVL STOK'!C149,'SETTING PRODUKSI Januari'!P:P)</f>
        <v>0</v>
      </c>
      <c r="F149" s="38"/>
      <c r="G149" s="74">
        <f t="shared" si="2"/>
        <v>0</v>
      </c>
      <c r="H149" s="99">
        <f>IFERROR(G149/('SETTING PRODUKSI Januari'!E152/'SETTING PRODUKSI Januari'!$E$8),0)</f>
        <v>0</v>
      </c>
    </row>
    <row r="150" spans="2:8" x14ac:dyDescent="0.25">
      <c r="B150" s="38"/>
      <c r="C150" s="38"/>
      <c r="D150" s="38"/>
      <c r="E150" s="99">
        <f>SUMIF('SETTING PRODUKSI Januari'!C:C,'STOK AKHIR DAN ESKES LVL STOK'!C150,'SETTING PRODUKSI Januari'!P:P)</f>
        <v>0</v>
      </c>
      <c r="F150" s="38"/>
      <c r="G150" s="74">
        <f t="shared" si="2"/>
        <v>0</v>
      </c>
      <c r="H150" s="99">
        <f>IFERROR(G150/('SETTING PRODUKSI Januari'!E153/'SETTING PRODUKSI Januari'!$E$8),0)</f>
        <v>0</v>
      </c>
    </row>
    <row r="151" spans="2:8" x14ac:dyDescent="0.25">
      <c r="B151" s="38"/>
      <c r="C151" s="38"/>
      <c r="D151" s="38"/>
      <c r="E151" s="99">
        <f>SUMIF('SETTING PRODUKSI Januari'!C:C,'STOK AKHIR DAN ESKES LVL STOK'!C151,'SETTING PRODUKSI Januari'!P:P)</f>
        <v>0</v>
      </c>
      <c r="F151" s="38"/>
      <c r="G151" s="74">
        <f t="shared" si="2"/>
        <v>0</v>
      </c>
      <c r="H151" s="99">
        <f>IFERROR(G151/('SETTING PRODUKSI Januari'!E154/'SETTING PRODUKSI Januari'!$E$8),0)</f>
        <v>0</v>
      </c>
    </row>
    <row r="152" spans="2:8" x14ac:dyDescent="0.25">
      <c r="B152" s="38"/>
      <c r="C152" s="38"/>
      <c r="D152" s="58" t="s">
        <v>122</v>
      </c>
      <c r="E152" s="99">
        <f>SUM(E139:E151)</f>
        <v>1.6689646153846152</v>
      </c>
      <c r="F152" s="99">
        <f>SUM(F139:F151)</f>
        <v>0</v>
      </c>
      <c r="G152" s="74">
        <f t="shared" si="2"/>
        <v>1.6689646153846152</v>
      </c>
      <c r="H152" s="99">
        <f>IFERROR(G152/('SETTING PRODUKSI Januari'!E155/'SETTING PRODUKSI Januari'!$E$8),0)</f>
        <v>7.9133910823379212</v>
      </c>
    </row>
  </sheetData>
  <mergeCells count="7">
    <mergeCell ref="G4:G5"/>
    <mergeCell ref="H4:H5"/>
    <mergeCell ref="B4:B5"/>
    <mergeCell ref="C4:C5"/>
    <mergeCell ref="D4:D5"/>
    <mergeCell ref="E4:E5"/>
    <mergeCell ref="F4:F5"/>
  </mergeCells>
  <conditionalFormatting sqref="C1:C4 C109:C1048576">
    <cfRule type="duplicateValues" dxfId="2" priority="3"/>
  </conditionalFormatting>
  <conditionalFormatting sqref="C5:C108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H16"/>
  <sheetViews>
    <sheetView workbookViewId="0">
      <selection activeCell="B7" sqref="B7"/>
    </sheetView>
  </sheetViews>
  <sheetFormatPr defaultRowHeight="15" x14ac:dyDescent="0.25"/>
  <cols>
    <col min="2" max="2" width="20" bestFit="1" customWidth="1"/>
    <col min="3" max="3" width="26.5703125" bestFit="1" customWidth="1"/>
    <col min="4" max="4" width="9.7109375" bestFit="1" customWidth="1"/>
    <col min="5" max="5" width="8.7109375" bestFit="1" customWidth="1"/>
    <col min="6" max="6" width="9.42578125" bestFit="1" customWidth="1"/>
  </cols>
  <sheetData>
    <row r="3" spans="2:8" ht="18.75" x14ac:dyDescent="0.3">
      <c r="B3" s="90" t="s">
        <v>136</v>
      </c>
    </row>
    <row r="4" spans="2:8" ht="21" x14ac:dyDescent="0.35">
      <c r="B4" s="91" t="s">
        <v>32</v>
      </c>
      <c r="C4" s="91" t="s">
        <v>33</v>
      </c>
      <c r="D4" s="91" t="s">
        <v>137</v>
      </c>
      <c r="E4" s="91" t="s">
        <v>138</v>
      </c>
      <c r="F4" s="92" t="s">
        <v>139</v>
      </c>
    </row>
    <row r="5" spans="2:8" x14ac:dyDescent="0.25">
      <c r="B5" s="89" t="s">
        <v>210</v>
      </c>
      <c r="C5" s="89" t="s">
        <v>211</v>
      </c>
      <c r="D5" s="38" t="s">
        <v>350</v>
      </c>
      <c r="E5" s="38">
        <v>40</v>
      </c>
      <c r="F5" s="38"/>
    </row>
    <row r="6" spans="2:8" x14ac:dyDescent="0.25">
      <c r="B6" s="89" t="s">
        <v>44</v>
      </c>
      <c r="C6" s="89" t="s">
        <v>45</v>
      </c>
      <c r="D6" s="38" t="s">
        <v>351</v>
      </c>
      <c r="E6" s="38"/>
      <c r="F6" s="38">
        <v>30</v>
      </c>
      <c r="H6" s="53"/>
    </row>
    <row r="7" spans="2:8" x14ac:dyDescent="0.25">
      <c r="B7" s="89"/>
      <c r="C7" s="89"/>
      <c r="D7" s="38"/>
      <c r="E7" s="38"/>
      <c r="F7" s="38"/>
      <c r="H7" s="53"/>
    </row>
    <row r="8" spans="2:8" x14ac:dyDescent="0.25">
      <c r="B8" s="89" t="s">
        <v>99</v>
      </c>
      <c r="C8" s="89" t="s">
        <v>100</v>
      </c>
      <c r="D8" s="38" t="s">
        <v>351</v>
      </c>
      <c r="E8" s="38"/>
      <c r="F8" s="38">
        <v>20</v>
      </c>
      <c r="H8" s="53"/>
    </row>
    <row r="9" spans="2:8" x14ac:dyDescent="0.25">
      <c r="B9" s="38"/>
      <c r="C9" s="38"/>
      <c r="D9" s="38"/>
      <c r="E9" s="38"/>
      <c r="F9" s="38"/>
      <c r="H9" s="38"/>
    </row>
    <row r="10" spans="2:8" x14ac:dyDescent="0.25">
      <c r="B10" s="38"/>
      <c r="C10" s="38"/>
      <c r="D10" s="38"/>
      <c r="E10" s="38"/>
      <c r="F10" s="38"/>
      <c r="H10" s="38"/>
    </row>
    <row r="11" spans="2:8" x14ac:dyDescent="0.25">
      <c r="B11" s="38"/>
      <c r="C11" s="38"/>
      <c r="D11" s="38"/>
      <c r="E11" s="38"/>
      <c r="F11" s="38"/>
      <c r="H11" s="38"/>
    </row>
    <row r="12" spans="2:8" x14ac:dyDescent="0.25">
      <c r="B12" s="38"/>
      <c r="C12" s="38"/>
      <c r="D12" s="38"/>
      <c r="E12" s="38"/>
      <c r="F12" s="38"/>
      <c r="H12" s="53"/>
    </row>
    <row r="13" spans="2:8" x14ac:dyDescent="0.25">
      <c r="B13" s="38"/>
      <c r="C13" s="38"/>
      <c r="D13" s="38"/>
      <c r="E13" s="38"/>
      <c r="F13" s="38"/>
      <c r="H13" s="53"/>
    </row>
    <row r="14" spans="2:8" x14ac:dyDescent="0.25">
      <c r="B14" s="38"/>
      <c r="C14" s="38"/>
      <c r="D14" s="38"/>
      <c r="E14" s="38"/>
      <c r="F14" s="38"/>
    </row>
    <row r="15" spans="2:8" x14ac:dyDescent="0.25">
      <c r="B15" s="38"/>
      <c r="C15" s="38"/>
      <c r="D15" s="38"/>
      <c r="E15" s="38"/>
      <c r="F15" s="38"/>
    </row>
    <row r="16" spans="2:8" x14ac:dyDescent="0.25">
      <c r="B16" s="38"/>
      <c r="C16" s="38"/>
      <c r="D16" s="38"/>
      <c r="E16" s="38"/>
      <c r="F16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SETTING PRODUKSI SEPTEMBER AU</vt:lpstr>
      <vt:lpstr>SETTING PRODUKSI Januari</vt:lpstr>
      <vt:lpstr>Sheet1</vt:lpstr>
      <vt:lpstr>Forecast Produksi</vt:lpstr>
      <vt:lpstr>MASTER DATA</vt:lpstr>
      <vt:lpstr>STOK AKHIR DAN ESKES LVL STOK</vt:lpstr>
      <vt:lpstr>KIRIM ANTAR 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Husna</cp:lastModifiedBy>
  <dcterms:created xsi:type="dcterms:W3CDTF">2023-03-14T01:48:52Z</dcterms:created>
  <dcterms:modified xsi:type="dcterms:W3CDTF">2024-09-15T14:21:33Z</dcterms:modified>
</cp:coreProperties>
</file>